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311" yWindow="5220" windowWidth="15720" windowHeight="5610" activeTab="1"/>
  </bookViews>
  <sheets>
    <sheet name="Teams" sheetId="1" r:id="rId1"/>
    <sheet name="General" sheetId="2" r:id="rId2"/>
    <sheet name="General_MA" sheetId="3" r:id="rId3"/>
  </sheets>
  <definedNames>
    <definedName name="A1_against">'General'!$K$3,'General'!$J$12,'General'!$J$20</definedName>
    <definedName name="A1_Pld">'General'!$J$3,'General'!$K$12,'General'!$K$20</definedName>
    <definedName name="A2_against">'General'!$J$3,'General'!$K$11,'General'!$J$19</definedName>
    <definedName name="A2_Pld">'General'!$K$3,'General'!$J$11,'General'!$K$19</definedName>
    <definedName name="A3_against">'General'!$K$4,'General'!$J$11,'General'!$K$20</definedName>
    <definedName name="A3_Pld">'General'!$J$4,'General'!$K$11,'General'!$J$20</definedName>
    <definedName name="A4_against">'General'!$J$4,'General'!$K$12,'General'!$K$19</definedName>
    <definedName name="A4_Pld">'General'!$K$4,'General'!$J$12,'General'!$J$19</definedName>
    <definedName name="B1_against">'General'!$K$6,'General'!$J$14,'General'!$J$22</definedName>
    <definedName name="B1_Pld">'General'!$J$6,'General'!$K$14,'General'!$K$22</definedName>
    <definedName name="B2_against">'General'!$J$6,'General'!$K$13,'General'!$J$21</definedName>
    <definedName name="B2_Pld">'General'!$K$6,'General'!$J$13,'General'!$K$21</definedName>
    <definedName name="B3_against">'General'!$K$5,'General'!$J$13,'General'!$K$22</definedName>
    <definedName name="B3_Pld">'General'!$J$5,'General'!$K$13,'General'!$J$22</definedName>
    <definedName name="B4_against">'General'!$J$5,'General'!$K$14,'General'!$K$21</definedName>
    <definedName name="B4_Pld">'General'!$K$5,'General'!$J$14,'General'!$J$21</definedName>
    <definedName name="C_1_against">'General'!$K$8,'General'!$J$16,'General'!$J$24</definedName>
    <definedName name="C_1_Pld">'General'!$J$8,'General'!$K$16,'General'!$K$24</definedName>
    <definedName name="C_2_against">'General'!$J$8,'General'!$K$15,'General'!$J$23</definedName>
    <definedName name="C_2_Pld">'General'!$K$8,'General'!$J$15,'General'!$K$23</definedName>
    <definedName name="C_3_against">'General'!$K$7,'General'!$J$15,'General'!$K$24</definedName>
    <definedName name="C_3_Pld">'General'!$J$7,'General'!$K$15,'General'!$J$24</definedName>
    <definedName name="C_4_against">'General'!$J$7,'General'!$K$16,'General'!$K$23</definedName>
    <definedName name="C_4_Pld">'General'!$K$7,'General'!$J$16,'General'!$J$23</definedName>
    <definedName name="CC4_Pld">'General'!$K$9,'General'!$J$18,'General'!$J$25</definedName>
    <definedName name="D1_against">'General'!$K$9,'General'!$J$18,'General'!$J$26</definedName>
    <definedName name="D1_Pld">'General'!$J$9,'General'!$K$18,'General'!$K$26</definedName>
    <definedName name="D2_against">'General'!$J$9,'General'!$K$17,'General'!$J$25</definedName>
    <definedName name="D2_Pld">'General'!$K$9,'General'!$J$17,'General'!$K$25</definedName>
    <definedName name="D3_against">'General'!$K$10,'General'!$J$17,'General'!$K$26</definedName>
    <definedName name="D3_Pld">'General'!$J$10,'General'!$K$17,'General'!$J$26</definedName>
    <definedName name="D4_against">'General'!$J$10,'General'!$K$18,'General'!$K$25</definedName>
    <definedName name="D4_Pld">'General'!$K$10,'General'!$J$18,'General'!$J$25</definedName>
    <definedName name="MA_A1_against">'General_MA'!$J$3,'General_MA'!$I$12,'General_MA'!$I$20</definedName>
    <definedName name="MA_A1_Pld">'General_MA'!$I$3,'General_MA'!$J$12,'General_MA'!$J$20</definedName>
    <definedName name="MA_A2_against">'General_MA'!$I$3,'General_MA'!$J$11,'General_MA'!$I$19</definedName>
    <definedName name="MA_A2_Pld">'General_MA'!$J$3,'General_MA'!$I$11,'General_MA'!$J$19</definedName>
    <definedName name="MA_A3_against">'General_MA'!$J$4,'General_MA'!$I$11,'General_MA'!$J$20</definedName>
    <definedName name="MA_A3_Pld">'General_MA'!$I$4,'General_MA'!$J$11,'General_MA'!$I$20</definedName>
    <definedName name="MA_A4_against">'General_MA'!$I$4,'General_MA'!$J$12,'General_MA'!$J$19</definedName>
    <definedName name="MA_A4_Pld">'General_MA'!$I$12,'General_MA'!$J$4,'General_MA'!$I$19</definedName>
    <definedName name="MA_B1_against">'General_MA'!$J$6,'General_MA'!$I$14,'General_MA'!$I$22</definedName>
    <definedName name="MA_B1_Pld">'General_MA'!$I$6,'General_MA'!$J$14,'General_MA'!$J$22</definedName>
    <definedName name="MA_B2_against">'General_MA'!$I$6,'General_MA'!$J$13,'General_MA'!$I$21</definedName>
    <definedName name="MA_B2_Pld">'General_MA'!$J$6,'General_MA'!$I$13,'General_MA'!$J$21</definedName>
    <definedName name="MA_B3_against">'General_MA'!$J$5,'General_MA'!$I$13,'General_MA'!$J$22</definedName>
    <definedName name="MA_B3_Pld">'General_MA'!$I$5,'General_MA'!$J$13,'General_MA'!$I$22</definedName>
    <definedName name="MA_B4_against">'General_MA'!$I$5,'General_MA'!$J$14,'General_MA'!$J$21</definedName>
    <definedName name="MA_B4_Pld">'General_MA'!$J$5,'General_MA'!$I$14,'General_MA'!$I$21</definedName>
    <definedName name="MA_C_1_against">'General_MA'!$J$8,'General_MA'!$I$16,'General_MA'!$I$24</definedName>
    <definedName name="MA_C_1_Pld">'General_MA'!$I$8,'General_MA'!$J$16,'General_MA'!$J$24</definedName>
    <definedName name="MA_C_2_against">'General_MA'!$I$8,'General_MA'!$J$15,'General_MA'!$I$23</definedName>
    <definedName name="MA_C_2_Pld">'General_MA'!$J$8,'General_MA'!$I$15,'General_MA'!$J$23</definedName>
    <definedName name="MA_C_3_against">'General_MA'!$J$7,'General_MA'!$I$15,'General_MA'!$J$24</definedName>
    <definedName name="MA_C_3_Pld">'General_MA'!$I$7,'General_MA'!$J$15,'General_MA'!$I$24</definedName>
    <definedName name="MA_C_4_against">'General_MA'!$I$7,'General_MA'!$J$16,'General_MA'!$J$23</definedName>
    <definedName name="MA_C_4_Pld">'General_MA'!$J$7,'General_MA'!$I$16,'General_MA'!$I$23</definedName>
    <definedName name="MA_D1_against">'General_MA'!$J$9,'General_MA'!$I$18,'General_MA'!$I$26</definedName>
    <definedName name="MA_D1_Pld">'General_MA'!$I$9,'General_MA'!$J$18,'General_MA'!$J$26</definedName>
    <definedName name="MA_D2_against">'General_MA'!$I$9,'General_MA'!$J$17,'General_MA'!$I$25</definedName>
    <definedName name="MA_D2_Pld">'General_MA'!$J$9,'General_MA'!$I$17,'General_MA'!$J$25</definedName>
    <definedName name="MA_D3_against">'General_MA'!$J$10,'General_MA'!$I$17,'General_MA'!$J$26</definedName>
    <definedName name="MA_D3_Pld">'General_MA'!$I$10,'General_MA'!$J$17,'General_MA'!$I$26</definedName>
    <definedName name="MA_D4_against">'General_MA'!$I$10,'General_MA'!$J$18,'General_MA'!$J$25</definedName>
    <definedName name="MA_D4_Pld">'General_MA'!$J$10,'General_MA'!$I$18,'General_MA'!$I$25</definedName>
  </definedNames>
  <calcPr fullCalcOnLoad="1"/>
</workbook>
</file>

<file path=xl/sharedStrings.xml><?xml version="1.0" encoding="utf-8"?>
<sst xmlns="http://schemas.openxmlformats.org/spreadsheetml/2006/main" count="465" uniqueCount="165">
  <si>
    <t>12.06.04</t>
  </si>
  <si>
    <t>Dragão, Porto</t>
  </si>
  <si>
    <t>Algarve, Faro/Loulé</t>
  </si>
  <si>
    <t>13.06.04</t>
  </si>
  <si>
    <t>Dr Magalhães Pessoa, Leiria</t>
  </si>
  <si>
    <t>Luz, Lisbon</t>
  </si>
  <si>
    <t>14.06.04</t>
  </si>
  <si>
    <t>D. Afonso Henriques, Guimarães</t>
  </si>
  <si>
    <t>José Alvalade, Lisbon</t>
  </si>
  <si>
    <t>15.06.04</t>
  </si>
  <si>
    <t>Municipal, Aveiro</t>
  </si>
  <si>
    <t>16.06.04</t>
  </si>
  <si>
    <t>17.06.04</t>
  </si>
  <si>
    <t>18.06.04</t>
  </si>
  <si>
    <t>Municipal, Braga</t>
  </si>
  <si>
    <t>19.06.04</t>
  </si>
  <si>
    <t>20.06.04</t>
  </si>
  <si>
    <t>21.06.04</t>
  </si>
  <si>
    <t>22.06.04</t>
  </si>
  <si>
    <t>23.06.04</t>
  </si>
  <si>
    <t>24.06.04</t>
  </si>
  <si>
    <t>25.06.04</t>
  </si>
  <si>
    <t>26.06.04</t>
  </si>
  <si>
    <t>27.06.04</t>
  </si>
  <si>
    <t>30.06.04</t>
  </si>
  <si>
    <t>01.07.04</t>
  </si>
  <si>
    <t>04.07.04</t>
  </si>
  <si>
    <t>Date</t>
  </si>
  <si>
    <t>Time</t>
  </si>
  <si>
    <t>Team A</t>
  </si>
  <si>
    <t>Team B</t>
  </si>
  <si>
    <t>Venue</t>
  </si>
  <si>
    <t>Group</t>
  </si>
  <si>
    <t>A2</t>
  </si>
  <si>
    <t>A</t>
  </si>
  <si>
    <t>A4</t>
  </si>
  <si>
    <t>B4</t>
  </si>
  <si>
    <t>B</t>
  </si>
  <si>
    <t>B2</t>
  </si>
  <si>
    <t>C4</t>
  </si>
  <si>
    <t>C</t>
  </si>
  <si>
    <t>C2</t>
  </si>
  <si>
    <t>D4</t>
  </si>
  <si>
    <t>D</t>
  </si>
  <si>
    <t>D2</t>
  </si>
  <si>
    <t>A3</t>
  </si>
  <si>
    <t>A1</t>
  </si>
  <si>
    <t>B3</t>
  </si>
  <si>
    <t>B1</t>
  </si>
  <si>
    <t>C3</t>
  </si>
  <si>
    <t>C1</t>
  </si>
  <si>
    <t>D3</t>
  </si>
  <si>
    <t>D1</t>
  </si>
  <si>
    <t xml:space="preserve">QF1: A1 </t>
  </si>
  <si>
    <t>QF2: B1 </t>
  </si>
  <si>
    <t>QF3: C1 </t>
  </si>
  <si>
    <t>QF4: D1 </t>
  </si>
  <si>
    <t>SF1: QF1 </t>
  </si>
  <si>
    <t>QF3</t>
  </si>
  <si>
    <t>SF2: QF2 </t>
  </si>
  <si>
    <t>QF4</t>
  </si>
  <si>
    <t>GA</t>
  </si>
  <si>
    <t>GB</t>
  </si>
  <si>
    <t>Teams</t>
  </si>
  <si>
    <t>Group A</t>
  </si>
  <si>
    <t>P</t>
  </si>
  <si>
    <t>W</t>
  </si>
  <si>
    <t>L</t>
  </si>
  <si>
    <t>F</t>
  </si>
  <si>
    <t>GD</t>
  </si>
  <si>
    <t>Pts</t>
  </si>
  <si>
    <t>Winner</t>
  </si>
  <si>
    <t>Looser</t>
  </si>
  <si>
    <t>Quante Pari</t>
  </si>
  <si>
    <t>2 Sq.</t>
  </si>
  <si>
    <t>-</t>
  </si>
  <si>
    <t>Pt</t>
  </si>
  <si>
    <t>Points</t>
  </si>
  <si>
    <t>Goal Difference</t>
  </si>
  <si>
    <t>Double</t>
  </si>
  <si>
    <t>Standings + Goal Difference</t>
  </si>
  <si>
    <t>Standings + Goal Difference + Goal Scored</t>
  </si>
  <si>
    <t>Goal Scored</t>
  </si>
  <si>
    <t>Team to delete</t>
  </si>
  <si>
    <t>Team no</t>
  </si>
  <si>
    <t>No Double</t>
  </si>
  <si>
    <t>2AtTheTop</t>
  </si>
  <si>
    <t>3AtTheTop</t>
  </si>
  <si>
    <t>4AtTheTop</t>
  </si>
  <si>
    <t>2RunnersUp</t>
  </si>
  <si>
    <t>3RunnersUp</t>
  </si>
  <si>
    <t>LIVE Standings</t>
  </si>
  <si>
    <t>No MA</t>
  </si>
  <si>
    <t>TotGD</t>
  </si>
  <si>
    <t>TotF</t>
  </si>
  <si>
    <t>Cella 3 pari</t>
  </si>
  <si>
    <t>X</t>
  </si>
  <si>
    <t>2/4 Pari</t>
  </si>
  <si>
    <t>3 =/ GD,F =</t>
  </si>
  <si>
    <t>3 = /(top 2 GD,F =)</t>
  </si>
  <si>
    <t>3 =/ (2RUs GD,F =)</t>
  </si>
  <si>
    <t>NO Same points</t>
  </si>
  <si>
    <t>Other cases</t>
  </si>
  <si>
    <t>Standings OK</t>
  </si>
  <si>
    <t>3 =&lt;&gt;GDorF</t>
  </si>
  <si>
    <t>Group B</t>
  </si>
  <si>
    <t>Group C</t>
  </si>
  <si>
    <t>Group D</t>
  </si>
  <si>
    <t xml:space="preserve">1GA </t>
  </si>
  <si>
    <t>2GB</t>
  </si>
  <si>
    <t>1GB</t>
  </si>
  <si>
    <t>2GA</t>
  </si>
  <si>
    <t>1GC</t>
  </si>
  <si>
    <t>2GD</t>
  </si>
  <si>
    <t>2GC</t>
  </si>
  <si>
    <t>1GD</t>
  </si>
  <si>
    <t>QF1</t>
  </si>
  <si>
    <t>QF2</t>
  </si>
  <si>
    <t>SF1</t>
  </si>
  <si>
    <t>SF2</t>
  </si>
  <si>
    <t>FIN</t>
  </si>
  <si>
    <t>WQF1 </t>
  </si>
  <si>
    <t>WQF3</t>
  </si>
  <si>
    <t>WQF2 </t>
  </si>
  <si>
    <t>WQF4</t>
  </si>
  <si>
    <t>Bessa - Séc. XXI, Porto</t>
  </si>
  <si>
    <t>Cidade de Coimbra, Coimbra</t>
  </si>
  <si>
    <t>Luz, Lisboa</t>
  </si>
  <si>
    <t>José Alvalade, Lisboa</t>
  </si>
  <si>
    <t>Дата</t>
  </si>
  <si>
    <t>Время</t>
  </si>
  <si>
    <t>Стадион</t>
  </si>
  <si>
    <t>Гр.</t>
  </si>
  <si>
    <t>Ком. A</t>
  </si>
  <si>
    <t>Ком. B</t>
  </si>
  <si>
    <t>Рез.</t>
  </si>
  <si>
    <t>ПОБЕДИТЕЛЬ ЕВРО-2004™</t>
  </si>
  <si>
    <t>Турнирная таблица</t>
  </si>
  <si>
    <t>Группа A</t>
  </si>
  <si>
    <t>И</t>
  </si>
  <si>
    <t>П</t>
  </si>
  <si>
    <t>Н</t>
  </si>
  <si>
    <t>ЗГ</t>
  </si>
  <si>
    <t>ПГ</t>
  </si>
  <si>
    <t>РМ</t>
  </si>
  <si>
    <t>О</t>
  </si>
  <si>
    <t>Группа B</t>
  </si>
  <si>
    <t>Группа C</t>
  </si>
  <si>
    <t>Группа D</t>
  </si>
  <si>
    <t>Португалия</t>
  </si>
  <si>
    <t>Греция</t>
  </si>
  <si>
    <t>Испания</t>
  </si>
  <si>
    <t>Россия</t>
  </si>
  <si>
    <t>Франция</t>
  </si>
  <si>
    <t>Англия</t>
  </si>
  <si>
    <t>Швейцария</t>
  </si>
  <si>
    <t>Хорватия</t>
  </si>
  <si>
    <t>Швеция</t>
  </si>
  <si>
    <t>Болгария</t>
  </si>
  <si>
    <t>Дания</t>
  </si>
  <si>
    <t>Италия</t>
  </si>
  <si>
    <t>Чехия</t>
  </si>
  <si>
    <t>Латвия</t>
  </si>
  <si>
    <t>Германия</t>
  </si>
  <si>
    <t>Нидерланды</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</si>
</sst>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15">
    <font>
      <sz val="10"/>
      <name val="Arial"/>
      <family val="0"/>
    </font>
    <font>
      <sz val="8"/>
      <color indexed="8"/>
      <name val="Verdana"/>
      <family val="2"/>
    </font>
    <font>
      <sz val="8"/>
      <name val="Arial"/>
      <family val="0"/>
    </font>
    <font>
      <b/>
      <sz val="8"/>
      <name val="Verdana"/>
      <family val="2"/>
    </font>
    <font>
      <sz val="8"/>
      <name val="Verdana"/>
      <family val="2"/>
    </font>
    <font>
      <b/>
      <sz val="8"/>
      <name val="Arial"/>
      <family val="2"/>
    </font>
    <font>
      <b/>
      <sz val="8"/>
      <color indexed="9"/>
      <name val="Arial"/>
      <family val="2"/>
    </font>
    <font>
      <b/>
      <sz val="8"/>
      <color indexed="53"/>
      <name val="Verdana"/>
      <family val="2"/>
    </font>
    <font>
      <sz val="8"/>
      <color indexed="53"/>
      <name val="Verdana"/>
      <family val="2"/>
    </font>
    <font>
      <b/>
      <sz val="14"/>
      <color indexed="53"/>
      <name val="Arial"/>
      <family val="2"/>
    </font>
    <font>
      <b/>
      <sz val="14"/>
      <name val="Arial"/>
      <family val="2"/>
    </font>
    <font>
      <vertAlign val="superscript"/>
      <sz val="8"/>
      <name val="Arial"/>
      <family val="0"/>
    </font>
    <font>
      <u val="single"/>
      <sz val="10"/>
      <color indexed="12"/>
      <name val="Arial"/>
      <family val="0"/>
    </font>
    <font>
      <u val="single"/>
      <sz val="10"/>
      <color indexed="36"/>
      <name val="Arial"/>
      <family val="0"/>
    </font>
    <font>
      <b/>
      <sz val="10"/>
      <name val="Arial"/>
      <family val="2"/>
    </font>
  </fonts>
  <fills count="12">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19"/>
        <bgColor indexed="64"/>
      </patternFill>
    </fill>
    <fill>
      <patternFill patternType="solid">
        <fgColor indexed="21"/>
        <bgColor indexed="64"/>
      </patternFill>
    </fill>
    <fill>
      <patternFill patternType="solid">
        <fgColor indexed="53"/>
        <bgColor indexed="64"/>
      </patternFill>
    </fill>
    <fill>
      <patternFill patternType="solid">
        <fgColor indexed="42"/>
        <bgColor indexed="64"/>
      </patternFill>
    </fill>
    <fill>
      <patternFill patternType="solid">
        <fgColor indexed="17"/>
        <bgColor indexed="64"/>
      </patternFill>
    </fill>
  </fills>
  <borders count="1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96">
    <xf numFmtId="0" fontId="0" fillId="0" borderId="0" xfId="0" applyAlignment="1">
      <alignment/>
    </xf>
    <xf numFmtId="0" fontId="1" fillId="2" borderId="0" xfId="0" applyFont="1" applyFill="1" applyAlignment="1">
      <alignment vertical="top" wrapText="1"/>
    </xf>
    <xf numFmtId="20" fontId="1" fillId="2" borderId="0" xfId="0" applyNumberFormat="1" applyFont="1" applyFill="1" applyAlignment="1">
      <alignment vertical="top" wrapText="1"/>
    </xf>
    <xf numFmtId="0" fontId="2" fillId="0" borderId="0" xfId="0" applyFont="1" applyAlignment="1">
      <alignment/>
    </xf>
    <xf numFmtId="0" fontId="3" fillId="3" borderId="0" xfId="0" applyFont="1" applyFill="1" applyBorder="1" applyAlignment="1">
      <alignment/>
    </xf>
    <xf numFmtId="0" fontId="4" fillId="3" borderId="0" xfId="0" applyFont="1" applyFill="1" applyBorder="1" applyAlignment="1">
      <alignment/>
    </xf>
    <xf numFmtId="0" fontId="2" fillId="0" borderId="0" xfId="0" applyFont="1" applyBorder="1" applyAlignment="1">
      <alignment/>
    </xf>
    <xf numFmtId="0" fontId="3" fillId="0" borderId="0" xfId="0" applyFont="1" applyBorder="1" applyAlignment="1">
      <alignment horizontal="right"/>
    </xf>
    <xf numFmtId="20" fontId="4" fillId="0" borderId="0" xfId="0" applyNumberFormat="1" applyFont="1" applyBorder="1" applyAlignment="1">
      <alignment/>
    </xf>
    <xf numFmtId="0" fontId="4" fillId="0" borderId="0" xfId="0" applyFont="1" applyBorder="1" applyAlignment="1">
      <alignment horizontal="right"/>
    </xf>
    <xf numFmtId="0" fontId="5" fillId="0" borderId="0" xfId="0" applyFont="1" applyAlignment="1">
      <alignment/>
    </xf>
    <xf numFmtId="0" fontId="2" fillId="4" borderId="1" xfId="0" applyFont="1" applyFill="1" applyBorder="1" applyAlignment="1">
      <alignment/>
    </xf>
    <xf numFmtId="0" fontId="2" fillId="3" borderId="2" xfId="0" applyFont="1" applyFill="1" applyBorder="1" applyAlignment="1">
      <alignment/>
    </xf>
    <xf numFmtId="0" fontId="2" fillId="3" borderId="3" xfId="0" applyFont="1" applyFill="1" applyBorder="1" applyAlignment="1">
      <alignment/>
    </xf>
    <xf numFmtId="0" fontId="2" fillId="3" borderId="4" xfId="0" applyFont="1" applyFill="1" applyBorder="1" applyAlignment="1">
      <alignment/>
    </xf>
    <xf numFmtId="0" fontId="2" fillId="5" borderId="1" xfId="0" applyFont="1" applyFill="1" applyBorder="1" applyAlignment="1">
      <alignment/>
    </xf>
    <xf numFmtId="0" fontId="2" fillId="3" borderId="0" xfId="0" applyFont="1" applyFill="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3" borderId="12" xfId="0" applyFont="1" applyFill="1" applyBorder="1" applyAlignment="1">
      <alignment/>
    </xf>
    <xf numFmtId="0" fontId="2" fillId="3" borderId="13" xfId="0" applyFont="1" applyFill="1" applyBorder="1" applyAlignment="1">
      <alignment/>
    </xf>
    <xf numFmtId="0" fontId="2" fillId="5" borderId="5" xfId="0" applyFont="1" applyFill="1" applyBorder="1" applyAlignment="1">
      <alignment/>
    </xf>
    <xf numFmtId="0" fontId="2" fillId="5" borderId="14" xfId="0" applyFont="1" applyFill="1" applyBorder="1" applyAlignment="1">
      <alignment/>
    </xf>
    <xf numFmtId="0" fontId="2" fillId="5" borderId="7" xfId="0" applyFont="1" applyFill="1" applyBorder="1" applyAlignment="1">
      <alignment/>
    </xf>
    <xf numFmtId="0" fontId="2" fillId="5" borderId="15" xfId="0" applyFont="1" applyFill="1" applyBorder="1" applyAlignment="1">
      <alignment/>
    </xf>
    <xf numFmtId="0" fontId="2" fillId="6" borderId="10" xfId="0" applyFont="1" applyFill="1" applyBorder="1" applyAlignment="1">
      <alignment/>
    </xf>
    <xf numFmtId="0" fontId="2" fillId="4" borderId="5" xfId="0" applyFont="1" applyFill="1" applyBorder="1" applyAlignment="1">
      <alignment/>
    </xf>
    <xf numFmtId="0" fontId="2" fillId="4" borderId="14" xfId="0" applyFont="1" applyFill="1" applyBorder="1" applyAlignment="1">
      <alignment/>
    </xf>
    <xf numFmtId="0" fontId="2" fillId="0" borderId="1" xfId="0" applyFont="1" applyFill="1" applyBorder="1" applyAlignment="1" applyProtection="1">
      <alignment/>
      <protection locked="0"/>
    </xf>
    <xf numFmtId="20" fontId="3" fillId="0" borderId="6" xfId="0" applyNumberFormat="1" applyFont="1" applyFill="1" applyBorder="1" applyAlignment="1" applyProtection="1">
      <alignment/>
      <protection hidden="1"/>
    </xf>
    <xf numFmtId="0" fontId="2" fillId="0" borderId="0" xfId="0" applyFont="1" applyFill="1" applyBorder="1" applyAlignment="1" applyProtection="1">
      <alignment/>
      <protection hidden="1"/>
    </xf>
    <xf numFmtId="20" fontId="3" fillId="0" borderId="8" xfId="0" applyNumberFormat="1" applyFont="1" applyFill="1" applyBorder="1" applyAlignment="1" applyProtection="1">
      <alignment/>
      <protection hidden="1"/>
    </xf>
    <xf numFmtId="0" fontId="2" fillId="0" borderId="9" xfId="0" applyFont="1" applyFill="1" applyBorder="1" applyAlignment="1" applyProtection="1">
      <alignment/>
      <protection hidden="1"/>
    </xf>
    <xf numFmtId="0" fontId="7" fillId="7" borderId="11" xfId="0" applyFont="1" applyFill="1" applyBorder="1" applyAlignment="1" applyProtection="1">
      <alignment/>
      <protection hidden="1"/>
    </xf>
    <xf numFmtId="0" fontId="8" fillId="7" borderId="12" xfId="0" applyFont="1" applyFill="1" applyBorder="1" applyAlignment="1" applyProtection="1">
      <alignment/>
      <protection hidden="1"/>
    </xf>
    <xf numFmtId="0" fontId="2" fillId="8" borderId="6" xfId="0" applyFont="1" applyFill="1" applyBorder="1" applyAlignment="1" applyProtection="1">
      <alignment/>
      <protection hidden="1"/>
    </xf>
    <xf numFmtId="20" fontId="3" fillId="0" borderId="6" xfId="0" applyNumberFormat="1" applyFont="1" applyBorder="1" applyAlignment="1" applyProtection="1">
      <alignment/>
      <protection hidden="1"/>
    </xf>
    <xf numFmtId="0" fontId="2" fillId="0" borderId="0" xfId="0" applyFont="1" applyBorder="1" applyAlignment="1" applyProtection="1">
      <alignment/>
      <protection hidden="1"/>
    </xf>
    <xf numFmtId="20" fontId="3" fillId="0" borderId="8" xfId="0" applyNumberFormat="1" applyFont="1" applyBorder="1" applyAlignment="1" applyProtection="1">
      <alignment/>
      <protection hidden="1"/>
    </xf>
    <xf numFmtId="0" fontId="2" fillId="0" borderId="9" xfId="0" applyFont="1" applyBorder="1" applyAlignment="1" applyProtection="1">
      <alignment/>
      <protection hidden="1"/>
    </xf>
    <xf numFmtId="0" fontId="1"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protection hidden="1"/>
    </xf>
    <xf numFmtId="0" fontId="5" fillId="0" borderId="1" xfId="0" applyFont="1" applyBorder="1" applyAlignment="1" applyProtection="1">
      <alignment/>
      <protection hidden="1"/>
    </xf>
    <xf numFmtId="0" fontId="2" fillId="0" borderId="1" xfId="0" applyFont="1" applyBorder="1" applyAlignment="1" applyProtection="1">
      <alignment/>
      <protection locked="0"/>
    </xf>
    <xf numFmtId="0" fontId="2" fillId="0" borderId="0" xfId="0" applyFont="1" applyBorder="1" applyAlignment="1" applyProtection="1">
      <alignment/>
      <protection/>
    </xf>
    <xf numFmtId="0" fontId="2" fillId="0" borderId="0" xfId="0" applyFont="1" applyAlignment="1" applyProtection="1">
      <alignment/>
      <protection/>
    </xf>
    <xf numFmtId="0" fontId="6" fillId="9" borderId="3" xfId="0" applyFont="1" applyFill="1" applyBorder="1" applyAlignment="1" applyProtection="1">
      <alignment horizontal="center"/>
      <protection/>
    </xf>
    <xf numFmtId="0" fontId="2" fillId="0" borderId="0" xfId="0" applyFont="1" applyAlignment="1" applyProtection="1">
      <alignment horizontal="center"/>
      <protection/>
    </xf>
    <xf numFmtId="0" fontId="2" fillId="3" borderId="2" xfId="0" applyFont="1" applyFill="1" applyBorder="1" applyAlignment="1" applyProtection="1">
      <alignment/>
      <protection/>
    </xf>
    <xf numFmtId="0" fontId="2" fillId="3" borderId="3" xfId="0" applyFont="1" applyFill="1" applyBorder="1" applyAlignment="1" applyProtection="1">
      <alignment/>
      <protection/>
    </xf>
    <xf numFmtId="0" fontId="2" fillId="3" borderId="4" xfId="0" applyFont="1" applyFill="1" applyBorder="1" applyAlignment="1" applyProtection="1">
      <alignment/>
      <protection/>
    </xf>
    <xf numFmtId="0" fontId="5" fillId="3" borderId="0" xfId="0" applyFont="1" applyFill="1" applyAlignment="1" applyProtection="1">
      <alignment/>
      <protection/>
    </xf>
    <xf numFmtId="0" fontId="6" fillId="9" borderId="2" xfId="0" applyFont="1" applyFill="1" applyBorder="1" applyAlignment="1" applyProtection="1">
      <alignment/>
      <protection/>
    </xf>
    <xf numFmtId="0" fontId="6" fillId="9" borderId="3" xfId="0" applyFont="1" applyFill="1" applyBorder="1" applyAlignment="1" applyProtection="1">
      <alignment/>
      <protection/>
    </xf>
    <xf numFmtId="0" fontId="1" fillId="0" borderId="1" xfId="0" applyFont="1" applyFill="1" applyBorder="1" applyAlignment="1" applyProtection="1">
      <alignment vertical="top" wrapText="1"/>
      <protection/>
    </xf>
    <xf numFmtId="20" fontId="1" fillId="0" borderId="1" xfId="0" applyNumberFormat="1" applyFont="1" applyFill="1" applyBorder="1" applyAlignment="1" applyProtection="1">
      <alignment vertical="top" wrapText="1"/>
      <protection/>
    </xf>
    <xf numFmtId="0" fontId="2" fillId="8" borderId="1" xfId="0" applyFont="1" applyFill="1" applyBorder="1" applyAlignment="1" applyProtection="1">
      <alignment horizontal="center"/>
      <protection/>
    </xf>
    <xf numFmtId="0" fontId="7" fillId="7" borderId="6" xfId="0" applyFont="1" applyFill="1" applyBorder="1" applyAlignment="1" applyProtection="1">
      <alignment/>
      <protection/>
    </xf>
    <xf numFmtId="0" fontId="8" fillId="7" borderId="0" xfId="0" applyFont="1" applyFill="1" applyBorder="1" applyAlignment="1" applyProtection="1">
      <alignment/>
      <protection/>
    </xf>
    <xf numFmtId="0" fontId="8" fillId="7" borderId="7" xfId="0" applyFont="1" applyFill="1" applyBorder="1" applyAlignment="1" applyProtection="1">
      <alignment/>
      <protection/>
    </xf>
    <xf numFmtId="0" fontId="3" fillId="3" borderId="0" xfId="0" applyFont="1" applyFill="1" applyBorder="1" applyAlignment="1" applyProtection="1">
      <alignment/>
      <protection/>
    </xf>
    <xf numFmtId="0" fontId="4" fillId="3" borderId="0" xfId="0" applyFont="1" applyFill="1" applyBorder="1" applyAlignment="1" applyProtection="1">
      <alignment/>
      <protection/>
    </xf>
    <xf numFmtId="0" fontId="5" fillId="0" borderId="0" xfId="0" applyFont="1" applyAlignment="1" applyProtection="1">
      <alignment/>
      <protection/>
    </xf>
    <xf numFmtId="0" fontId="2" fillId="10" borderId="1" xfId="0" applyFont="1" applyFill="1" applyBorder="1" applyAlignment="1" applyProtection="1">
      <alignment/>
      <protection/>
    </xf>
    <xf numFmtId="0" fontId="5" fillId="10" borderId="1" xfId="0" applyFont="1" applyFill="1" applyBorder="1" applyAlignment="1" applyProtection="1">
      <alignment/>
      <protection/>
    </xf>
    <xf numFmtId="0" fontId="2" fillId="8" borderId="6" xfId="0" applyFont="1" applyFill="1" applyBorder="1" applyAlignment="1" applyProtection="1">
      <alignment/>
      <protection/>
    </xf>
    <xf numFmtId="0" fontId="3" fillId="8" borderId="0" xfId="0" applyFont="1" applyFill="1" applyBorder="1" applyAlignment="1" applyProtection="1">
      <alignment horizontal="right"/>
      <protection/>
    </xf>
    <xf numFmtId="0" fontId="3" fillId="8" borderId="7" xfId="0" applyFont="1" applyFill="1" applyBorder="1" applyAlignment="1" applyProtection="1">
      <alignment horizontal="right"/>
      <protection/>
    </xf>
    <xf numFmtId="0" fontId="3" fillId="0" borderId="0" xfId="0" applyFont="1" applyBorder="1" applyAlignment="1" applyProtection="1">
      <alignment horizontal="right"/>
      <protection/>
    </xf>
    <xf numFmtId="0" fontId="2" fillId="0" borderId="7" xfId="0" applyFont="1" applyFill="1" applyBorder="1" applyAlignment="1" applyProtection="1">
      <alignment/>
      <protection/>
    </xf>
    <xf numFmtId="20" fontId="4" fillId="0" borderId="0" xfId="0" applyNumberFormat="1" applyFont="1" applyBorder="1" applyAlignment="1" applyProtection="1">
      <alignment/>
      <protection/>
    </xf>
    <xf numFmtId="0" fontId="4" fillId="0" borderId="0" xfId="0" applyFont="1" applyBorder="1" applyAlignment="1" applyProtection="1">
      <alignment horizontal="right"/>
      <protection/>
    </xf>
    <xf numFmtId="0" fontId="2" fillId="0" borderId="15" xfId="0" applyFont="1" applyFill="1" applyBorder="1" applyAlignment="1" applyProtection="1">
      <alignment/>
      <protection/>
    </xf>
    <xf numFmtId="0" fontId="8" fillId="7" borderId="13" xfId="0" applyFont="1" applyFill="1" applyBorder="1" applyAlignment="1" applyProtection="1">
      <alignment/>
      <protection/>
    </xf>
    <xf numFmtId="0" fontId="2" fillId="0" borderId="7" xfId="0" applyFont="1" applyBorder="1" applyAlignment="1" applyProtection="1">
      <alignment/>
      <protection/>
    </xf>
    <xf numFmtId="0" fontId="2" fillId="0" borderId="15" xfId="0" applyFont="1" applyBorder="1" applyAlignment="1" applyProtection="1">
      <alignment/>
      <protection/>
    </xf>
    <xf numFmtId="0" fontId="2" fillId="10" borderId="10" xfId="0" applyFont="1" applyFill="1" applyBorder="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11" fillId="0" borderId="0" xfId="0" applyFont="1" applyAlignment="1" applyProtection="1">
      <alignment/>
      <protection/>
    </xf>
    <xf numFmtId="0" fontId="10" fillId="0" borderId="0" xfId="0" applyFont="1" applyAlignment="1" applyProtection="1">
      <alignment/>
      <protection/>
    </xf>
    <xf numFmtId="0" fontId="10" fillId="0" borderId="7" xfId="0" applyFont="1" applyBorder="1" applyAlignment="1" applyProtection="1">
      <alignment/>
      <protection/>
    </xf>
    <xf numFmtId="0" fontId="9" fillId="11" borderId="2" xfId="0" applyFont="1" applyFill="1" applyBorder="1" applyAlignment="1" applyProtection="1">
      <alignment horizontal="center"/>
      <protection hidden="1"/>
    </xf>
    <xf numFmtId="0" fontId="9" fillId="11" borderId="3" xfId="0" applyFont="1" applyFill="1" applyBorder="1" applyAlignment="1" applyProtection="1">
      <alignment horizontal="center"/>
      <protection hidden="1"/>
    </xf>
    <xf numFmtId="0" fontId="9" fillId="11" borderId="4" xfId="0" applyFont="1" applyFill="1" applyBorder="1" applyAlignment="1" applyProtection="1">
      <alignment horizontal="center"/>
      <protection hidden="1"/>
    </xf>
    <xf numFmtId="0" fontId="6" fillId="9" borderId="11" xfId="0" applyFont="1" applyFill="1" applyBorder="1" applyAlignment="1" applyProtection="1">
      <alignment horizontal="center"/>
      <protection/>
    </xf>
    <xf numFmtId="0" fontId="6" fillId="9" borderId="12" xfId="0" applyFont="1" applyFill="1" applyBorder="1" applyAlignment="1" applyProtection="1">
      <alignment horizontal="center"/>
      <protection/>
    </xf>
    <xf numFmtId="0" fontId="6" fillId="9" borderId="13" xfId="0" applyFont="1" applyFill="1" applyBorder="1" applyAlignment="1" applyProtection="1">
      <alignment horizontal="center"/>
      <protection/>
    </xf>
    <xf numFmtId="0" fontId="6" fillId="9" borderId="3" xfId="0" applyFont="1" applyFill="1" applyBorder="1" applyAlignment="1" applyProtection="1">
      <alignment horizontal="center"/>
      <protection/>
    </xf>
    <xf numFmtId="0" fontId="6" fillId="9" borderId="4" xfId="0" applyFont="1" applyFill="1" applyBorder="1" applyAlignment="1" applyProtection="1">
      <alignment horizontal="center"/>
      <protection/>
    </xf>
    <xf numFmtId="0" fontId="14" fillId="0" borderId="0" xfId="15" applyFont="1" applyBorder="1" applyAlignment="1" applyProtection="1">
      <alignment horizontal="center"/>
      <protection/>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6600"/>
      <rgbColor rgb="00F7EFCB"/>
      <rgbColor rgb="00000080"/>
      <rgbColor rgb="00F1E1A1"/>
      <rgbColor rgb="00800080"/>
      <rgbColor rgb="00FAF6E6"/>
      <rgbColor rgb="00C0C0C0"/>
      <rgbColor rgb="00808080"/>
      <rgbColor rgb="00FF6600"/>
      <rgbColor rgb="00947744"/>
      <rgbColor rgb="00F1E1A1"/>
      <rgbColor rgb="00F7EFCB"/>
      <rgbColor rgb="00FAF6E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947744"/>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23</xdr:col>
      <xdr:colOff>9525</xdr:colOff>
      <xdr:row>1</xdr:row>
      <xdr:rowOff>0</xdr:rowOff>
    </xdr:to>
    <xdr:pic>
      <xdr:nvPicPr>
        <xdr:cNvPr id="1" name="Picture 1"/>
        <xdr:cNvPicPr preferRelativeResize="1">
          <a:picLocks noChangeAspect="1"/>
        </xdr:cNvPicPr>
      </xdr:nvPicPr>
      <xdr:blipFill>
        <a:blip r:embed="rId1"/>
        <a:stretch>
          <a:fillRect/>
        </a:stretch>
      </xdr:blipFill>
      <xdr:spPr>
        <a:xfrm>
          <a:off x="95250" y="0"/>
          <a:ext cx="9334500" cy="933450"/>
        </a:xfrm>
        <a:prstGeom prst="rect">
          <a:avLst/>
        </a:prstGeom>
        <a:noFill/>
        <a:ln w="9525" cmpd="sng">
          <a:noFill/>
        </a:ln>
      </xdr:spPr>
    </xdr:pic>
    <xdr:clientData/>
  </xdr:twoCellAnchor>
  <xdr:twoCellAnchor editAs="oneCell">
    <xdr:from>
      <xdr:col>14</xdr:col>
      <xdr:colOff>533400</xdr:colOff>
      <xdr:row>27</xdr:row>
      <xdr:rowOff>133350</xdr:rowOff>
    </xdr:from>
    <xdr:to>
      <xdr:col>20</xdr:col>
      <xdr:colOff>142875</xdr:colOff>
      <xdr:row>39</xdr:row>
      <xdr:rowOff>66675</xdr:rowOff>
    </xdr:to>
    <xdr:pic>
      <xdr:nvPicPr>
        <xdr:cNvPr id="2" name="Picture 3"/>
        <xdr:cNvPicPr preferRelativeResize="1">
          <a:picLocks noChangeAspect="1"/>
        </xdr:cNvPicPr>
      </xdr:nvPicPr>
      <xdr:blipFill>
        <a:blip r:embed="rId2"/>
        <a:stretch>
          <a:fillRect/>
        </a:stretch>
      </xdr:blipFill>
      <xdr:spPr>
        <a:xfrm>
          <a:off x="7372350" y="4781550"/>
          <a:ext cx="1514475" cy="1762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3.png"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7"/>
  <sheetViews>
    <sheetView workbookViewId="0" topLeftCell="A1">
      <selection activeCell="B2" sqref="B2:B17"/>
    </sheetView>
  </sheetViews>
  <sheetFormatPr defaultColWidth="9.140625" defaultRowHeight="12.75"/>
  <cols>
    <col min="1" max="1" width="6.421875" style="0" customWidth="1"/>
    <col min="2" max="2" width="17.57421875" style="0" customWidth="1"/>
  </cols>
  <sheetData>
    <row r="1" ht="12.75">
      <c r="A1" t="s">
        <v>63</v>
      </c>
    </row>
    <row r="2" spans="1:2" ht="12.75">
      <c r="A2" t="s">
        <v>46</v>
      </c>
      <c r="B2" t="s">
        <v>149</v>
      </c>
    </row>
    <row r="3" spans="1:2" ht="12.75">
      <c r="A3" t="s">
        <v>33</v>
      </c>
      <c r="B3" t="s">
        <v>150</v>
      </c>
    </row>
    <row r="4" spans="1:2" ht="12.75">
      <c r="A4" t="s">
        <v>45</v>
      </c>
      <c r="B4" t="s">
        <v>151</v>
      </c>
    </row>
    <row r="5" spans="1:2" ht="12.75">
      <c r="A5" t="s">
        <v>35</v>
      </c>
      <c r="B5" t="s">
        <v>152</v>
      </c>
    </row>
    <row r="6" spans="1:2" ht="12.75">
      <c r="A6" t="s">
        <v>48</v>
      </c>
      <c r="B6" t="s">
        <v>153</v>
      </c>
    </row>
    <row r="7" spans="1:2" ht="12.75">
      <c r="A7" t="s">
        <v>38</v>
      </c>
      <c r="B7" t="s">
        <v>154</v>
      </c>
    </row>
    <row r="8" spans="1:2" ht="12.75">
      <c r="A8" t="s">
        <v>47</v>
      </c>
      <c r="B8" t="s">
        <v>155</v>
      </c>
    </row>
    <row r="9" spans="1:2" ht="12.75">
      <c r="A9" t="s">
        <v>36</v>
      </c>
      <c r="B9" t="s">
        <v>156</v>
      </c>
    </row>
    <row r="10" spans="1:2" ht="12.75">
      <c r="A10" t="s">
        <v>50</v>
      </c>
      <c r="B10" t="s">
        <v>157</v>
      </c>
    </row>
    <row r="11" spans="1:2" ht="12.75">
      <c r="A11" t="s">
        <v>41</v>
      </c>
      <c r="B11" t="s">
        <v>158</v>
      </c>
    </row>
    <row r="12" spans="1:2" ht="12.75">
      <c r="A12" t="s">
        <v>49</v>
      </c>
      <c r="B12" t="s">
        <v>159</v>
      </c>
    </row>
    <row r="13" spans="1:2" ht="12.75">
      <c r="A13" t="s">
        <v>39</v>
      </c>
      <c r="B13" t="s">
        <v>160</v>
      </c>
    </row>
    <row r="14" spans="1:2" ht="12.75">
      <c r="A14" t="s">
        <v>52</v>
      </c>
      <c r="B14" t="s">
        <v>161</v>
      </c>
    </row>
    <row r="15" spans="1:2" ht="12.75">
      <c r="A15" t="s">
        <v>44</v>
      </c>
      <c r="B15" t="s">
        <v>162</v>
      </c>
    </row>
    <row r="16" spans="1:2" ht="12.75">
      <c r="A16" t="s">
        <v>51</v>
      </c>
      <c r="B16" t="s">
        <v>163</v>
      </c>
    </row>
    <row r="17" spans="1:2" ht="12.75">
      <c r="A17" t="s">
        <v>42</v>
      </c>
      <c r="B17" t="s">
        <v>164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DG51"/>
  <sheetViews>
    <sheetView showGridLines="0" showRowColHeaders="0" tabSelected="1" defaultGridColor="0" colorId="53" workbookViewId="0" topLeftCell="A1">
      <selection activeCell="J8" sqref="J8"/>
    </sheetView>
  </sheetViews>
  <sheetFormatPr defaultColWidth="9.140625" defaultRowHeight="12.75"/>
  <cols>
    <col min="1" max="1" width="1.421875" style="50" customWidth="1"/>
    <col min="2" max="2" width="8.140625" style="50" bestFit="1" customWidth="1"/>
    <col min="3" max="3" width="5.7109375" style="50" customWidth="1"/>
    <col min="4" max="4" width="28.28125" style="50" bestFit="1" customWidth="1"/>
    <col min="5" max="5" width="5.28125" style="52" bestFit="1" customWidth="1"/>
    <col min="6" max="6" width="6.140625" style="52" customWidth="1"/>
    <col min="7" max="7" width="6.140625" style="52" bestFit="1" customWidth="1"/>
    <col min="8" max="8" width="15.421875" style="50" customWidth="1"/>
    <col min="9" max="9" width="14.421875" style="50" customWidth="1"/>
    <col min="10" max="11" width="4.28125" style="50" customWidth="1"/>
    <col min="12" max="12" width="7.8515625" style="50" hidden="1" customWidth="1"/>
    <col min="13" max="13" width="6.7109375" style="50" hidden="1" customWidth="1"/>
    <col min="14" max="14" width="3.00390625" style="50" customWidth="1"/>
    <col min="15" max="15" width="14.7109375" style="50" customWidth="1"/>
    <col min="16" max="19" width="2.7109375" style="50" bestFit="1" customWidth="1"/>
    <col min="20" max="20" width="3.00390625" style="50" customWidth="1"/>
    <col min="21" max="21" width="2.7109375" style="50" bestFit="1" customWidth="1"/>
    <col min="22" max="22" width="3.57421875" style="50" bestFit="1" customWidth="1"/>
    <col min="23" max="23" width="3.8515625" style="50" bestFit="1" customWidth="1"/>
    <col min="24" max="24" width="4.57421875" style="50" customWidth="1"/>
    <col min="25" max="25" width="4.57421875" style="50" hidden="1" customWidth="1"/>
    <col min="26" max="26" width="3.28125" style="50" hidden="1" customWidth="1"/>
    <col min="27" max="27" width="13.57421875" style="50" hidden="1" customWidth="1"/>
    <col min="28" max="28" width="2.140625" style="50" hidden="1" customWidth="1"/>
    <col min="29" max="29" width="2.7109375" style="50" hidden="1" customWidth="1"/>
    <col min="30" max="30" width="2.00390625" style="50" hidden="1" customWidth="1"/>
    <col min="31" max="31" width="2.7109375" style="50" hidden="1" customWidth="1"/>
    <col min="32" max="32" width="3.140625" style="50" hidden="1" customWidth="1"/>
    <col min="33" max="33" width="3.00390625" style="50" hidden="1" customWidth="1"/>
    <col min="34" max="34" width="3.57421875" style="50" hidden="1" customWidth="1"/>
    <col min="35" max="35" width="3.8515625" style="50" hidden="1" customWidth="1"/>
    <col min="36" max="36" width="2.7109375" style="50" hidden="1" customWidth="1"/>
    <col min="37" max="37" width="12.8515625" style="50" hidden="1" customWidth="1"/>
    <col min="38" max="38" width="2.57421875" style="50" hidden="1" customWidth="1"/>
    <col min="39" max="39" width="11.57421875" style="50" hidden="1" customWidth="1"/>
    <col min="40" max="40" width="2.8515625" style="50" hidden="1" customWidth="1"/>
    <col min="41" max="41" width="11.57421875" style="50" hidden="1" customWidth="1"/>
    <col min="42" max="42" width="4.57421875" style="50" hidden="1" customWidth="1"/>
    <col min="43" max="43" width="3.140625" style="50" hidden="1" customWidth="1"/>
    <col min="44" max="44" width="2.140625" style="50" hidden="1" customWidth="1"/>
    <col min="45" max="45" width="11.57421875" style="50" hidden="1" customWidth="1"/>
    <col min="46" max="46" width="2.57421875" style="50" hidden="1" customWidth="1"/>
    <col min="47" max="47" width="2.8515625" style="50" hidden="1" customWidth="1"/>
    <col min="48" max="48" width="11.7109375" style="50" hidden="1" customWidth="1"/>
    <col min="49" max="49" width="1.8515625" style="50" hidden="1" customWidth="1"/>
    <col min="50" max="50" width="2.421875" style="50" hidden="1" customWidth="1"/>
    <col min="51" max="51" width="11.7109375" style="50" hidden="1" customWidth="1"/>
    <col min="52" max="52" width="2.28125" style="50" hidden="1" customWidth="1"/>
    <col min="53" max="53" width="2.140625" style="50" hidden="1" customWidth="1"/>
    <col min="54" max="54" width="2.00390625" style="50" hidden="1" customWidth="1"/>
    <col min="55" max="55" width="2.7109375" style="50" hidden="1" customWidth="1"/>
    <col min="56" max="56" width="2.421875" style="50" hidden="1" customWidth="1"/>
    <col min="57" max="57" width="9.421875" style="50" hidden="1" customWidth="1"/>
    <col min="58" max="58" width="2.57421875" style="50" hidden="1" customWidth="1"/>
    <col min="59" max="59" width="2.8515625" style="50" hidden="1" customWidth="1"/>
    <col min="60" max="60" width="11.7109375" style="50" hidden="1" customWidth="1"/>
    <col min="61" max="61" width="1.8515625" style="50" hidden="1" customWidth="1"/>
    <col min="62" max="62" width="2.421875" style="50" hidden="1" customWidth="1"/>
    <col min="63" max="63" width="11.7109375" style="50" hidden="1" customWidth="1"/>
    <col min="64" max="64" width="2.28125" style="50" hidden="1" customWidth="1"/>
    <col min="65" max="65" width="3.140625" style="50" hidden="1" customWidth="1"/>
    <col min="66" max="66" width="1.8515625" style="50" hidden="1" customWidth="1"/>
    <col min="67" max="67" width="4.8515625" style="50" hidden="1" customWidth="1"/>
    <col min="68" max="68" width="12.7109375" style="50" hidden="1" customWidth="1"/>
    <col min="69" max="69" width="2.57421875" style="50" hidden="1" customWidth="1"/>
    <col min="70" max="70" width="3.140625" style="50" hidden="1" customWidth="1"/>
    <col min="71" max="71" width="11.7109375" style="50" hidden="1" customWidth="1"/>
    <col min="72" max="72" width="3.421875" style="50" hidden="1" customWidth="1"/>
    <col min="73" max="73" width="4.57421875" style="50" hidden="1" customWidth="1"/>
    <col min="74" max="74" width="11.7109375" style="50" hidden="1" customWidth="1"/>
    <col min="75" max="75" width="3.7109375" style="50" hidden="1" customWidth="1"/>
    <col min="76" max="76" width="3.140625" style="50" hidden="1" customWidth="1"/>
    <col min="77" max="77" width="2.7109375" style="50" hidden="1" customWidth="1"/>
    <col min="78" max="78" width="4.57421875" style="50" hidden="1" customWidth="1"/>
    <col min="79" max="79" width="12.00390625" style="50" hidden="1" customWidth="1"/>
    <col min="80" max="80" width="2.57421875" style="50" hidden="1" customWidth="1"/>
    <col min="81" max="81" width="3.140625" style="50" hidden="1" customWidth="1"/>
    <col min="82" max="82" width="2.7109375" style="50" hidden="1" customWidth="1"/>
    <col min="83" max="83" width="8.7109375" style="50" hidden="1" customWidth="1"/>
    <col min="84" max="84" width="2.57421875" style="50" hidden="1" customWidth="1"/>
    <col min="85" max="85" width="3.140625" style="50" hidden="1" customWidth="1"/>
    <col min="86" max="86" width="2.7109375" style="50" hidden="1" customWidth="1"/>
    <col min="87" max="87" width="10.00390625" style="50" hidden="1" customWidth="1"/>
    <col min="88" max="88" width="2.57421875" style="50" hidden="1" customWidth="1"/>
    <col min="89" max="89" width="3.140625" style="50" hidden="1" customWidth="1"/>
    <col min="90" max="90" width="2.7109375" style="50" hidden="1" customWidth="1"/>
    <col min="91" max="91" width="4.57421875" style="50" hidden="1" customWidth="1"/>
    <col min="92" max="92" width="12.28125" style="50" hidden="1" customWidth="1"/>
    <col min="93" max="93" width="13.7109375" style="50" hidden="1" customWidth="1"/>
    <col min="94" max="94" width="12.00390625" style="50" hidden="1" customWidth="1"/>
    <col min="95" max="95" width="13.00390625" style="50" hidden="1" customWidth="1"/>
    <col min="96" max="96" width="13.421875" style="50" hidden="1" customWidth="1"/>
    <col min="97" max="97" width="12.8515625" style="50" hidden="1" customWidth="1"/>
    <col min="98" max="98" width="13.00390625" style="50" hidden="1" customWidth="1"/>
    <col min="99" max="99" width="2.57421875" style="50" hidden="1" customWidth="1"/>
    <col min="100" max="101" width="2.421875" style="50" hidden="1" customWidth="1"/>
    <col min="102" max="102" width="13.28125" style="50" hidden="1" customWidth="1"/>
    <col min="103" max="103" width="6.140625" style="50" hidden="1" customWidth="1"/>
    <col min="104" max="104" width="4.421875" style="50" hidden="1" customWidth="1"/>
    <col min="105" max="105" width="3.7109375" style="50" hidden="1" customWidth="1"/>
    <col min="106" max="106" width="11.140625" style="50" hidden="1" customWidth="1"/>
    <col min="107" max="107" width="4.140625" style="50" customWidth="1"/>
    <col min="108" max="16384" width="4.57421875" style="50" customWidth="1"/>
  </cols>
  <sheetData>
    <row r="1" spans="15:106" ht="73.5" customHeight="1">
      <c r="O1" s="50" t="s">
        <v>91</v>
      </c>
      <c r="AA1" s="53" t="s">
        <v>77</v>
      </c>
      <c r="AK1" s="53" t="s">
        <v>77</v>
      </c>
      <c r="AL1" s="54"/>
      <c r="AM1" s="54"/>
      <c r="AN1" s="54"/>
      <c r="AO1" s="54"/>
      <c r="AP1" s="54"/>
      <c r="AQ1" s="55"/>
      <c r="AS1" s="53" t="s">
        <v>78</v>
      </c>
      <c r="AT1" s="54"/>
      <c r="AU1" s="54"/>
      <c r="AV1" s="54"/>
      <c r="AW1" s="54"/>
      <c r="AX1" s="54"/>
      <c r="AY1" s="54"/>
      <c r="AZ1" s="54"/>
      <c r="BA1" s="55"/>
      <c r="BE1" s="53" t="s">
        <v>82</v>
      </c>
      <c r="BF1" s="54"/>
      <c r="BG1" s="54"/>
      <c r="BH1" s="54"/>
      <c r="BI1" s="54"/>
      <c r="BJ1" s="54"/>
      <c r="BK1" s="54"/>
      <c r="BL1" s="54"/>
      <c r="BM1" s="55"/>
      <c r="BP1" s="53" t="s">
        <v>80</v>
      </c>
      <c r="BQ1" s="54"/>
      <c r="BR1" s="54"/>
      <c r="BS1" s="54"/>
      <c r="BT1" s="54"/>
      <c r="BU1" s="54"/>
      <c r="BV1" s="54"/>
      <c r="BW1" s="54"/>
      <c r="BX1" s="54"/>
      <c r="BY1" s="55"/>
      <c r="CA1" s="53" t="s">
        <v>81</v>
      </c>
      <c r="CB1" s="54"/>
      <c r="CC1" s="54"/>
      <c r="CD1" s="54"/>
      <c r="CE1" s="54"/>
      <c r="CF1" s="54"/>
      <c r="CG1" s="54"/>
      <c r="CH1" s="54"/>
      <c r="CI1" s="54"/>
      <c r="CJ1" s="54"/>
      <c r="CK1" s="54"/>
      <c r="CL1" s="54"/>
      <c r="CM1" s="55"/>
      <c r="CN1" s="56" t="s">
        <v>85</v>
      </c>
      <c r="CO1" s="56" t="s">
        <v>86</v>
      </c>
      <c r="CP1" s="56" t="s">
        <v>87</v>
      </c>
      <c r="CQ1" s="56" t="s">
        <v>88</v>
      </c>
      <c r="CR1" s="56" t="s">
        <v>89</v>
      </c>
      <c r="CS1" s="56" t="s">
        <v>90</v>
      </c>
      <c r="CU1" s="53" t="s">
        <v>79</v>
      </c>
      <c r="CV1" s="54"/>
      <c r="CW1" s="54"/>
      <c r="CX1" s="54"/>
      <c r="CY1" s="55"/>
      <c r="DB1" s="50" t="s">
        <v>84</v>
      </c>
    </row>
    <row r="2" spans="2:23" ht="11.25">
      <c r="B2" s="57" t="s">
        <v>129</v>
      </c>
      <c r="C2" s="58" t="s">
        <v>130</v>
      </c>
      <c r="D2" s="58" t="s">
        <v>131</v>
      </c>
      <c r="E2" s="51" t="s">
        <v>132</v>
      </c>
      <c r="F2" s="51" t="s">
        <v>133</v>
      </c>
      <c r="G2" s="51" t="s">
        <v>134</v>
      </c>
      <c r="H2" s="58"/>
      <c r="I2" s="58"/>
      <c r="J2" s="93" t="s">
        <v>135</v>
      </c>
      <c r="K2" s="94"/>
      <c r="L2" s="50" t="s">
        <v>71</v>
      </c>
      <c r="M2" s="50" t="s">
        <v>72</v>
      </c>
      <c r="O2" s="90" t="s">
        <v>137</v>
      </c>
      <c r="P2" s="91"/>
      <c r="Q2" s="91"/>
      <c r="R2" s="91"/>
      <c r="S2" s="91"/>
      <c r="T2" s="91"/>
      <c r="U2" s="91"/>
      <c r="V2" s="91"/>
      <c r="W2" s="92"/>
    </row>
    <row r="3" spans="2:103" ht="11.25">
      <c r="B3" s="59" t="s">
        <v>0</v>
      </c>
      <c r="C3" s="60">
        <v>0.7083333333333334</v>
      </c>
      <c r="D3" s="59" t="s">
        <v>1</v>
      </c>
      <c r="E3" s="61" t="s">
        <v>34</v>
      </c>
      <c r="F3" s="45" t="s">
        <v>46</v>
      </c>
      <c r="G3" s="45" t="s">
        <v>33</v>
      </c>
      <c r="H3" s="46" t="str">
        <f>VLOOKUP(F3,Teams!$A$2:$B$17,2,FALSE)</f>
        <v>Португалия</v>
      </c>
      <c r="I3" s="46" t="str">
        <f>VLOOKUP(G3,Teams!$A$2:$B$17,2,FALSE)</f>
        <v>Греция</v>
      </c>
      <c r="J3" s="33"/>
      <c r="K3" s="33"/>
      <c r="L3" s="50">
        <f>IF(J3&gt;K3,H3,IF(K3&gt;J3,I3,""))</f>
      </c>
      <c r="M3" s="50">
        <f>IF(J3&lt;K3,H3,IF(K3&lt;J3,I3,""))</f>
      </c>
      <c r="O3" s="62" t="s">
        <v>138</v>
      </c>
      <c r="P3" s="63"/>
      <c r="Q3" s="63"/>
      <c r="R3" s="63"/>
      <c r="S3" s="63"/>
      <c r="T3" s="63"/>
      <c r="U3" s="63"/>
      <c r="V3" s="63"/>
      <c r="W3" s="64"/>
      <c r="AA3" s="65" t="s">
        <v>64</v>
      </c>
      <c r="AB3" s="66"/>
      <c r="AC3" s="66"/>
      <c r="AD3" s="66"/>
      <c r="AE3" s="66"/>
      <c r="AF3" s="66"/>
      <c r="AG3" s="66"/>
      <c r="AH3" s="66"/>
      <c r="AI3" s="66"/>
      <c r="AK3" s="50">
        <v>1</v>
      </c>
      <c r="AM3" s="50">
        <v>2</v>
      </c>
      <c r="AO3" s="50">
        <v>3</v>
      </c>
      <c r="AP3" s="50" t="s">
        <v>76</v>
      </c>
      <c r="AQ3" s="50" t="s">
        <v>69</v>
      </c>
      <c r="AT3" s="50" t="s">
        <v>76</v>
      </c>
      <c r="AU3" s="50" t="s">
        <v>69</v>
      </c>
      <c r="AW3" s="50" t="s">
        <v>76</v>
      </c>
      <c r="AX3" s="50" t="s">
        <v>69</v>
      </c>
      <c r="AZ3" s="50" t="s">
        <v>76</v>
      </c>
      <c r="BA3" s="50" t="s">
        <v>69</v>
      </c>
      <c r="BB3" s="50" t="s">
        <v>65</v>
      </c>
      <c r="BC3" s="50" t="s">
        <v>68</v>
      </c>
      <c r="BF3" s="50" t="s">
        <v>76</v>
      </c>
      <c r="BG3" s="50" t="s">
        <v>69</v>
      </c>
      <c r="BI3" s="50" t="s">
        <v>76</v>
      </c>
      <c r="BJ3" s="50" t="s">
        <v>69</v>
      </c>
      <c r="BL3" s="50" t="s">
        <v>76</v>
      </c>
      <c r="BM3" s="50" t="s">
        <v>69</v>
      </c>
      <c r="BN3" s="50" t="s">
        <v>65</v>
      </c>
      <c r="BQ3" s="50" t="s">
        <v>76</v>
      </c>
      <c r="BR3" s="50" t="s">
        <v>69</v>
      </c>
      <c r="BT3" s="50" t="s">
        <v>76</v>
      </c>
      <c r="BU3" s="50" t="s">
        <v>69</v>
      </c>
      <c r="BW3" s="67" t="s">
        <v>76</v>
      </c>
      <c r="BX3" s="67" t="s">
        <v>69</v>
      </c>
      <c r="BY3" s="67" t="s">
        <v>68</v>
      </c>
      <c r="CB3" s="67" t="s">
        <v>76</v>
      </c>
      <c r="CC3" s="67" t="s">
        <v>69</v>
      </c>
      <c r="CD3" s="67" t="s">
        <v>68</v>
      </c>
      <c r="CF3" s="67" t="s">
        <v>76</v>
      </c>
      <c r="CG3" s="67" t="s">
        <v>69</v>
      </c>
      <c r="CH3" s="67" t="s">
        <v>68</v>
      </c>
      <c r="CI3" s="68"/>
      <c r="CJ3" s="69" t="s">
        <v>76</v>
      </c>
      <c r="CK3" s="69" t="s">
        <v>69</v>
      </c>
      <c r="CL3" s="69" t="s">
        <v>68</v>
      </c>
      <c r="CX3" s="50" t="s">
        <v>73</v>
      </c>
      <c r="CY3" s="50" t="s">
        <v>74</v>
      </c>
    </row>
    <row r="4" spans="2:97" ht="11.25">
      <c r="B4" s="59" t="s">
        <v>0</v>
      </c>
      <c r="C4" s="60">
        <v>0.8229166666666667</v>
      </c>
      <c r="D4" s="59" t="s">
        <v>2</v>
      </c>
      <c r="E4" s="61" t="s">
        <v>34</v>
      </c>
      <c r="F4" s="45" t="s">
        <v>45</v>
      </c>
      <c r="G4" s="45" t="s">
        <v>35</v>
      </c>
      <c r="H4" s="46" t="str">
        <f>VLOOKUP(F4,Teams!$A$2:$B$17,2,FALSE)</f>
        <v>Испания</v>
      </c>
      <c r="I4" s="46" t="str">
        <f>VLOOKUP(G4,Teams!$A$2:$B$17,2,FALSE)</f>
        <v>Россия</v>
      </c>
      <c r="J4" s="33"/>
      <c r="K4" s="33"/>
      <c r="L4" s="50">
        <f aca="true" t="shared" si="0" ref="L4:L26">IF(J4&gt;K4,H4,IF(K4&gt;J4,I4,""))</f>
      </c>
      <c r="M4" s="50">
        <f aca="true" t="shared" si="1" ref="M4:M26">IF(J4&lt;K4,H4,IF(K4&lt;J4,I4,""))</f>
      </c>
      <c r="O4" s="70"/>
      <c r="P4" s="71" t="s">
        <v>139</v>
      </c>
      <c r="Q4" s="71" t="s">
        <v>140</v>
      </c>
      <c r="R4" s="71" t="s">
        <v>141</v>
      </c>
      <c r="S4" s="71" t="s">
        <v>140</v>
      </c>
      <c r="T4" s="71" t="s">
        <v>142</v>
      </c>
      <c r="U4" s="71" t="s">
        <v>143</v>
      </c>
      <c r="V4" s="71" t="s">
        <v>144</v>
      </c>
      <c r="W4" s="72" t="s">
        <v>145</v>
      </c>
      <c r="AA4" s="49"/>
      <c r="AB4" s="73" t="s">
        <v>65</v>
      </c>
      <c r="AC4" s="73" t="s">
        <v>66</v>
      </c>
      <c r="AD4" s="73" t="s">
        <v>67</v>
      </c>
      <c r="AE4" s="73" t="s">
        <v>43</v>
      </c>
      <c r="AF4" s="73" t="s">
        <v>68</v>
      </c>
      <c r="AG4" s="73" t="s">
        <v>34</v>
      </c>
      <c r="AH4" s="73" t="s">
        <v>69</v>
      </c>
      <c r="AI4" s="73" t="s">
        <v>70</v>
      </c>
      <c r="CI4" s="68"/>
      <c r="CJ4" s="68"/>
      <c r="CK4" s="68"/>
      <c r="CL4" s="68"/>
      <c r="CN4" s="50" t="str">
        <f>IF(COUNTIF(CU5:CU6,"x")=0,"YES","NO")</f>
        <v>NO</v>
      </c>
      <c r="CO4" s="50" t="str">
        <f>IF(AND(CU5="X",CU6="X",CV6&lt;&gt;"Y"),"YES","NO")</f>
        <v>NO</v>
      </c>
      <c r="CP4" s="50" t="str">
        <f>IF(AND(CU5="X",CU6="X",CU7="X",CU8&lt;&gt;"X"),"YES","NO")</f>
        <v>NO</v>
      </c>
      <c r="CQ4" s="50" t="str">
        <f>IF(AND(CU9=4,CV9=3),"YES","NO")</f>
        <v>YES</v>
      </c>
      <c r="CR4" s="50" t="str">
        <f>IF(AND(CU6="X",CU7="X",CU8="",CU5=""),"YES","NO")</f>
        <v>NO</v>
      </c>
      <c r="CS4" s="50" t="str">
        <f>IF(AND(CU6="X",CU7="X",CU8="X",CU5=""),"YES","NO")</f>
        <v>NO</v>
      </c>
    </row>
    <row r="5" spans="2:106" ht="11.25">
      <c r="B5" s="59" t="s">
        <v>3</v>
      </c>
      <c r="C5" s="60">
        <v>0.7083333333333333</v>
      </c>
      <c r="D5" s="59" t="s">
        <v>4</v>
      </c>
      <c r="E5" s="61" t="s">
        <v>37</v>
      </c>
      <c r="F5" s="45" t="s">
        <v>47</v>
      </c>
      <c r="G5" s="45" t="s">
        <v>36</v>
      </c>
      <c r="H5" s="46" t="str">
        <f>VLOOKUP(F5,Teams!$A$2:$B$17,2,FALSE)</f>
        <v>Швейцария</v>
      </c>
      <c r="I5" s="46" t="str">
        <f>VLOOKUP(G5,Teams!$A$2:$B$17,2,FALSE)</f>
        <v>Хорватия</v>
      </c>
      <c r="J5" s="33"/>
      <c r="K5" s="33"/>
      <c r="L5" s="50">
        <f t="shared" si="0"/>
      </c>
      <c r="M5" s="50">
        <f t="shared" si="1"/>
      </c>
      <c r="O5" s="34" t="str">
        <f>HLOOKUP("YES",$CN$4:$CS$8,2,FALSE)</f>
        <v>Португалия</v>
      </c>
      <c r="P5" s="35">
        <f>VLOOKUP($O5,$AA$5:$AI$26,2,FALSE)</f>
        <v>0</v>
      </c>
      <c r="Q5" s="35">
        <f>VLOOKUP($O5,$AA$5:$AI$26,3,FALSE)</f>
        <v>0</v>
      </c>
      <c r="R5" s="35">
        <f>VLOOKUP($O5,$AA$5:$AI$26,4,FALSE)</f>
        <v>0</v>
      </c>
      <c r="S5" s="35">
        <f>VLOOKUP($O5,$AA$5:$AI$26,5,FALSE)</f>
        <v>0</v>
      </c>
      <c r="T5" s="35">
        <f>VLOOKUP($O5,$AA$5:$AI$26,6,FALSE)</f>
        <v>0</v>
      </c>
      <c r="U5" s="35">
        <f>VLOOKUP($O5,$AA$5:$AI$26,7,FALSE)</f>
        <v>0</v>
      </c>
      <c r="V5" s="35">
        <f>VLOOKUP($O5,$AA$5:$AI$26,8,FALSE)</f>
        <v>0</v>
      </c>
      <c r="W5" s="74">
        <f>VLOOKUP($O5,$AA$5:$AI$26,9,FALSE)</f>
        <v>0</v>
      </c>
      <c r="Z5" s="75" t="str">
        <f>Teams!A2</f>
        <v>A1</v>
      </c>
      <c r="AA5" s="75" t="str">
        <f>Teams!B2</f>
        <v>Португалия</v>
      </c>
      <c r="AB5" s="50">
        <f>MAX(COUNT(A1_Pld),COUNT(A1_against))</f>
        <v>0</v>
      </c>
      <c r="AC5" s="76">
        <f>COUNTIF($L$3:$L$26,AA5)</f>
        <v>0</v>
      </c>
      <c r="AD5" s="76">
        <f>COUNTIF($M$3:$M$26,AA5)</f>
        <v>0</v>
      </c>
      <c r="AE5" s="76">
        <f>AB5-AC5-AD5</f>
        <v>0</v>
      </c>
      <c r="AF5" s="76">
        <f>SUM(A1_Pld)</f>
        <v>0</v>
      </c>
      <c r="AG5" s="76">
        <f>SUM(A1_against)</f>
        <v>0</v>
      </c>
      <c r="AH5" s="76">
        <f>AF5-AG5</f>
        <v>0</v>
      </c>
      <c r="AI5" s="76">
        <f>AC5*3+AE5*1</f>
        <v>0</v>
      </c>
      <c r="AK5" s="50" t="str">
        <f>IF(AI5&gt;=AI6,IF(AI5&gt;=AI7,IF(AI5&gt;=AI8,AA5,AA8),IF(AI7&gt;=AI6,IF(AI7&gt;=AI8,AA7,AA8),IF(AI6&gt;=AI8,AA6,AA8))),IF(AI6&gt;=AI7,IF(AI6&gt;=AI8,AA6,AA8),IF(AI7&gt;=AI8,AA7,AA8)))</f>
        <v>Португалия</v>
      </c>
      <c r="AL5" s="50">
        <f>VLOOKUP(AK5,$AA$5:$AI$26,9,FALSE)</f>
        <v>0</v>
      </c>
      <c r="AM5" s="50" t="str">
        <f>AK5</f>
        <v>Португалия</v>
      </c>
      <c r="AN5" s="50">
        <f>VLOOKUP(AM5,$AA$5:$AI$26,9,FALSE)</f>
        <v>0</v>
      </c>
      <c r="AO5" s="50" t="str">
        <f>AM5</f>
        <v>Португалия</v>
      </c>
      <c r="AP5" s="50">
        <f>AN5</f>
        <v>0</v>
      </c>
      <c r="AQ5" s="50">
        <f>VLOOKUP(AO5,$AA$5:$AI$26,8,FALSE)</f>
        <v>0</v>
      </c>
      <c r="AS5" s="50" t="str">
        <f>IF(AQ5&gt;=AQ6,IF(AQ5&gt;=AQ7,IF(AQ5&gt;=AQ8,AO5,AO8),IF(AQ7&gt;=AQ6,IF(AQ7&gt;=AQ8,AO7,AO8),IF(AQ6&gt;=AQ8,AO6,AO8))),IF(AQ6&gt;=AQ7,IF(AQ6&gt;=AQ8,AO6,AO8),IF(AQ7&gt;=AQ8,AO7,AO8)))</f>
        <v>Португалия</v>
      </c>
      <c r="AT5" s="50">
        <f>VLOOKUP(AS5,$AA$5:$AI$26,9,FALSE)</f>
        <v>0</v>
      </c>
      <c r="AU5" s="50">
        <f>VLOOKUP(AS5,$AA$5:$AI$26,8,FALSE)</f>
        <v>0</v>
      </c>
      <c r="AV5" s="50" t="str">
        <f>AS5</f>
        <v>Португалия</v>
      </c>
      <c r="AW5" s="50">
        <f>VLOOKUP(AV5,$AA$5:$AI$26,9,FALSE)</f>
        <v>0</v>
      </c>
      <c r="AX5" s="50">
        <f>VLOOKUP(AV5,$AA$5:$AI$26,8,FALSE)</f>
        <v>0</v>
      </c>
      <c r="AY5" s="50" t="str">
        <f>AV5</f>
        <v>Португалия</v>
      </c>
      <c r="AZ5" s="50">
        <f>VLOOKUP(AY5,$AA$5:$AI$26,9,FALSE)</f>
        <v>0</v>
      </c>
      <c r="BA5" s="50">
        <f>VLOOKUP(AY5,$AA$5:$AI$26,8,FALSE)</f>
        <v>0</v>
      </c>
      <c r="BB5" s="50">
        <v>1</v>
      </c>
      <c r="BC5" s="50">
        <f>VLOOKUP(AY5,$AA$5:$AI$26,6,FALSE)</f>
        <v>0</v>
      </c>
      <c r="BE5" s="50" t="str">
        <f>IF(BC5&gt;=BC6,IF(BC5&gt;=BC7,IF(BC5&gt;=BC8,AY5,AY8),IF(BC7&gt;=BC6,IF(BC7&gt;=BC8,AY7,AY8),IF(BC6&gt;=BC8,AY6,AY8))),IF(BC6&gt;=BC7,IF(BC6&gt;=BC8,AY6,AY8),IF(BC7&gt;=BC8,AY7,AY8)))</f>
        <v>Португалия</v>
      </c>
      <c r="BF5" s="50">
        <f>VLOOKUP(BE5,$AA$5:$AI$26,9,FALSE)</f>
        <v>0</v>
      </c>
      <c r="BG5" s="50">
        <f>VLOOKUP(BE5,$AA$5:$AI$26,6,FALSE)</f>
        <v>0</v>
      </c>
      <c r="BH5" s="50" t="str">
        <f>BE5</f>
        <v>Португалия</v>
      </c>
      <c r="BI5" s="50">
        <f>VLOOKUP(BH5,$AA$5:$AI$26,9,FALSE)</f>
        <v>0</v>
      </c>
      <c r="BJ5" s="50">
        <f>VLOOKUP(BH5,$AA$5:$AI$26,6,FALSE)</f>
        <v>0</v>
      </c>
      <c r="BK5" s="50" t="str">
        <f>BH5</f>
        <v>Португалия</v>
      </c>
      <c r="BL5" s="50">
        <f>VLOOKUP(BK5,$AA$5:$AI$26,9,FALSE)</f>
        <v>0</v>
      </c>
      <c r="BM5" s="50">
        <f>VLOOKUP(BK5,$AA$5:$AI$26,6,FALSE)</f>
        <v>0</v>
      </c>
      <c r="BN5" s="50">
        <v>1</v>
      </c>
      <c r="BP5" s="50" t="str">
        <f>IF(AP5=AP6,IF(AP5=AP7,IF(AP5=AP8,AY5,IF(AQ5&gt;=AQ6,IF(AQ5&gt;=AQ7,AO5,AO7),IF(AQ6&gt;=AQ7,AO6,AO7))),IF(AQ5&gt;=AQ6,AO5,AO6)),AO5)</f>
        <v>Португалия</v>
      </c>
      <c r="BQ5" s="50">
        <f>VLOOKUP(BP5,$AA$5:$AI$26,9,FALSE)</f>
        <v>0</v>
      </c>
      <c r="BR5" s="50">
        <f>VLOOKUP(BP5,$AA$5:$AI$26,8,FALSE)</f>
        <v>0</v>
      </c>
      <c r="BS5" s="50" t="str">
        <f>BP5</f>
        <v>Португалия</v>
      </c>
      <c r="BT5" s="50">
        <f>VLOOKUP(BS5,$AA$5:$AI$26,9,FALSE)</f>
        <v>0</v>
      </c>
      <c r="BU5" s="50">
        <f>VLOOKUP(BS5,$AA$5:$AI$26,8,FALSE)</f>
        <v>0</v>
      </c>
      <c r="BV5" s="50" t="str">
        <f>BS5</f>
        <v>Португалия</v>
      </c>
      <c r="BW5" s="50">
        <f>VLOOKUP(BV5,$AA$5:$AI$26,9,FALSE)</f>
        <v>0</v>
      </c>
      <c r="BX5" s="50">
        <f>VLOOKUP(BV5,$AA$5:$AI$26,8,FALSE)</f>
        <v>0</v>
      </c>
      <c r="BY5" s="50">
        <f>VLOOKUP(BV5,$AA$5:$AI$26,6,FALSE)</f>
        <v>0</v>
      </c>
      <c r="CA5" s="50" t="str">
        <f>IF(AND(BW5=BW6,BX5=BX6),IF(AND(BW5=BW7,BX5=BX7),IF(AND(BW5=BW8,BX5=BX8),BK5,IF(BY5&gt;=BY6,IF(BY5&gt;=BY7,BV5,BV7),IF(BY6&gt;=BY7,BV6,BV7))),IF(BY5&gt;=BY6,BV5,BV6)),BV5)</f>
        <v>Португалия</v>
      </c>
      <c r="CB5" s="50">
        <f>VLOOKUP(CA5,$AA$5:$AI$26,9,FALSE)</f>
        <v>0</v>
      </c>
      <c r="CC5" s="50">
        <f>VLOOKUP(CA5,$AA$5:$AI$26,8,FALSE)</f>
        <v>0</v>
      </c>
      <c r="CD5" s="50">
        <f>VLOOKUP(CA5,$AA$5:$AI$26,6,FALSE)</f>
        <v>0</v>
      </c>
      <c r="CE5" s="50" t="str">
        <f>CA5</f>
        <v>Португалия</v>
      </c>
      <c r="CF5" s="50">
        <f>VLOOKUP(CE5,$AA$5:$AI$26,9,FALSE)</f>
        <v>0</v>
      </c>
      <c r="CG5" s="50">
        <f>VLOOKUP(CE5,$AA$5:$AI$26,8,FALSE)</f>
        <v>0</v>
      </c>
      <c r="CH5" s="50">
        <f>VLOOKUP(CE5,$AA$5:$AI$26,6,FALSE)</f>
        <v>0</v>
      </c>
      <c r="CI5" s="68" t="str">
        <f>CE5</f>
        <v>Португалия</v>
      </c>
      <c r="CJ5" s="68">
        <f>VLOOKUP(CI5,$AA$5:$AI$26,9,FALSE)</f>
        <v>0</v>
      </c>
      <c r="CK5" s="68">
        <f>VLOOKUP(CI5,$AA$5:$AI$26,8,FALSE)</f>
        <v>0</v>
      </c>
      <c r="CL5" s="68">
        <f>VLOOKUP(CI5,$AA$5:$AI$26,6,FALSE)</f>
        <v>0</v>
      </c>
      <c r="CN5" s="50" t="str">
        <f>CI5</f>
        <v>Португалия</v>
      </c>
      <c r="CO5" s="50" t="str">
        <f>General_MA!CP5</f>
        <v>Португалия</v>
      </c>
      <c r="CP5" s="50" t="str">
        <f>General_MA!CP5</f>
        <v>Португалия</v>
      </c>
      <c r="CQ5" s="50" t="str">
        <f>CI5</f>
        <v>Португалия</v>
      </c>
      <c r="CR5" s="50" t="str">
        <f>CI5</f>
        <v>Португалия</v>
      </c>
      <c r="CS5" s="50" t="str">
        <f>CR5</f>
        <v>Португалия</v>
      </c>
      <c r="CU5" s="50" t="str">
        <f>IF(OR(AP5=AP6,AP5=AP4),"X","")</f>
        <v>X</v>
      </c>
      <c r="CV5" s="50" t="str">
        <f>IF(CU5="x",IF(AP5=AP6,"y",""),"")</f>
        <v>y</v>
      </c>
      <c r="CX5" s="50" t="str">
        <f>IF(CU5="x",AO5,"")</f>
        <v>Португалия</v>
      </c>
      <c r="DB5" s="50">
        <f>IF(CX5="",CI5,"")</f>
      </c>
    </row>
    <row r="6" spans="2:106" ht="11.25">
      <c r="B6" s="59" t="s">
        <v>3</v>
      </c>
      <c r="C6" s="60">
        <v>0.8229166666666666</v>
      </c>
      <c r="D6" s="59" t="s">
        <v>127</v>
      </c>
      <c r="E6" s="61" t="s">
        <v>37</v>
      </c>
      <c r="F6" s="45" t="s">
        <v>48</v>
      </c>
      <c r="G6" s="45" t="s">
        <v>38</v>
      </c>
      <c r="H6" s="46" t="str">
        <f>VLOOKUP(F6,Teams!$A$2:$B$17,2,FALSE)</f>
        <v>Франция</v>
      </c>
      <c r="I6" s="46" t="str">
        <f>VLOOKUP(G6,Teams!$A$2:$B$17,2,FALSE)</f>
        <v>Англия</v>
      </c>
      <c r="J6" s="33"/>
      <c r="K6" s="33"/>
      <c r="L6" s="50">
        <f t="shared" si="0"/>
      </c>
      <c r="M6" s="50">
        <f t="shared" si="1"/>
      </c>
      <c r="O6" s="34" t="str">
        <f>HLOOKUP("YES",$CN$4:$CS$8,3,FALSE)</f>
        <v>Греция</v>
      </c>
      <c r="P6" s="35">
        <f>VLOOKUP($O6,$AA$5:$AI$26,2,FALSE)</f>
        <v>0</v>
      </c>
      <c r="Q6" s="35">
        <f>VLOOKUP($O6,$AA$5:$AI$26,3,FALSE)</f>
        <v>0</v>
      </c>
      <c r="R6" s="35">
        <f>VLOOKUP($O6,$AA$5:$AI$26,4,FALSE)</f>
        <v>0</v>
      </c>
      <c r="S6" s="35">
        <f>VLOOKUP($O6,$AA$5:$AI$26,5,FALSE)</f>
        <v>0</v>
      </c>
      <c r="T6" s="35">
        <f>VLOOKUP($O6,$AA$5:$AI$26,6,FALSE)</f>
        <v>0</v>
      </c>
      <c r="U6" s="35">
        <f>VLOOKUP($O6,$AA$5:$AI$26,7,FALSE)</f>
        <v>0</v>
      </c>
      <c r="V6" s="35">
        <f>VLOOKUP($O6,$AA$5:$AI$26,8,FALSE)</f>
        <v>0</v>
      </c>
      <c r="W6" s="74">
        <f>VLOOKUP($O6,$AA$5:$AI$26,9,FALSE)</f>
        <v>0</v>
      </c>
      <c r="Z6" s="75" t="str">
        <f>Teams!A3</f>
        <v>A2</v>
      </c>
      <c r="AA6" s="75" t="str">
        <f>Teams!B3</f>
        <v>Греция</v>
      </c>
      <c r="AB6" s="50">
        <f>MAX(COUNT(A2_Pld),COUNT(A2_against))</f>
        <v>0</v>
      </c>
      <c r="AC6" s="76">
        <f>COUNTIF($L$3:$L$26,AA6)</f>
        <v>0</v>
      </c>
      <c r="AD6" s="76">
        <f>COUNTIF($M$3:$M$26,AA6)</f>
        <v>0</v>
      </c>
      <c r="AE6" s="76">
        <f>AB6-AC6-AD6</f>
        <v>0</v>
      </c>
      <c r="AF6" s="76">
        <f>SUM(A2_Pld)</f>
        <v>0</v>
      </c>
      <c r="AG6" s="76">
        <f>SUM(A2_against)</f>
        <v>0</v>
      </c>
      <c r="AH6" s="76">
        <f>AF6-AG6</f>
        <v>0</v>
      </c>
      <c r="AI6" s="76">
        <f>AC6*3+AE6*1</f>
        <v>0</v>
      </c>
      <c r="AK6" s="50" t="str">
        <f>IF(AA6=AK$5,AA$5,AA6)</f>
        <v>Греция</v>
      </c>
      <c r="AL6" s="50">
        <f>VLOOKUP(AK6,$AA$5:$AI$26,9,FALSE)</f>
        <v>0</v>
      </c>
      <c r="AM6" s="50" t="str">
        <f>IF(AL6&gt;=AL7,IF(AL6&gt;=AL8,AK6,AK8),IF(AL7&gt;=AL8,AK7,AK8))</f>
        <v>Греция</v>
      </c>
      <c r="AN6" s="50">
        <f>VLOOKUP(AM6,$AA$5:$AI$26,9,FALSE)</f>
        <v>0</v>
      </c>
      <c r="AO6" s="50" t="str">
        <f>AM6</f>
        <v>Греция</v>
      </c>
      <c r="AP6" s="50">
        <f>AN6</f>
        <v>0</v>
      </c>
      <c r="AQ6" s="50">
        <f aca="true" t="shared" si="2" ref="AQ6:AQ26">VLOOKUP(AO6,$AA$5:$AI$26,8,FALSE)</f>
        <v>0</v>
      </c>
      <c r="AS6" s="50" t="str">
        <f>IF(AO6=AS$5,AO$5,AO6)</f>
        <v>Греция</v>
      </c>
      <c r="AT6" s="50">
        <f>VLOOKUP(AS6,$AA$5:$AI$26,9,FALSE)</f>
        <v>0</v>
      </c>
      <c r="AU6" s="50">
        <f>VLOOKUP(AS6,$AA$5:$AI$26,8,FALSE)</f>
        <v>0</v>
      </c>
      <c r="AV6" s="50" t="str">
        <f>IF(AU6&gt;=AU7,IF(AU6&gt;=AU8,AS6,AS8),IF(AU7&gt;=AU8,AS7,AS8))</f>
        <v>Греция</v>
      </c>
      <c r="AW6" s="50">
        <f>VLOOKUP(AV6,$AA$5:$AI$26,9,FALSE)</f>
        <v>0</v>
      </c>
      <c r="AX6" s="50">
        <f>VLOOKUP(AV6,$AA$5:$AI$26,8,FALSE)</f>
        <v>0</v>
      </c>
      <c r="AY6" s="50" t="str">
        <f>AV6</f>
        <v>Греция</v>
      </c>
      <c r="AZ6" s="50">
        <f>VLOOKUP(AY6,$AA$5:$AI$26,9,FALSE)</f>
        <v>0</v>
      </c>
      <c r="BA6" s="50">
        <f>VLOOKUP(AY6,$AA$5:$AI$26,8,FALSE)</f>
        <v>0</v>
      </c>
      <c r="BB6" s="50">
        <v>2</v>
      </c>
      <c r="BC6" s="50">
        <f>VLOOKUP(AY6,$AA$5:$AI$26,6,FALSE)</f>
        <v>0</v>
      </c>
      <c r="BE6" s="50" t="str">
        <f>IF(AY6=BE$5,AY$5,AY6)</f>
        <v>Греция</v>
      </c>
      <c r="BF6" s="50">
        <f>VLOOKUP(BE6,$AA$5:$AI$26,9,FALSE)</f>
        <v>0</v>
      </c>
      <c r="BG6" s="50">
        <f>VLOOKUP(BE6,$AA$5:$AI$26,6,FALSE)</f>
        <v>0</v>
      </c>
      <c r="BH6" s="50" t="str">
        <f>IF(BG6&gt;=BG7,IF(BG6&gt;=BG8,BE6,BE8),IF(BG7&gt;=BG8,BE7,BE8))</f>
        <v>Греция</v>
      </c>
      <c r="BI6" s="50">
        <f>VLOOKUP(BH6,$AA$5:$AI$26,9,FALSE)</f>
        <v>0</v>
      </c>
      <c r="BJ6" s="50">
        <f>VLOOKUP(BH6,$AA$5:$AI$26,6,FALSE)</f>
        <v>0</v>
      </c>
      <c r="BK6" s="50" t="str">
        <f>BH6</f>
        <v>Греция</v>
      </c>
      <c r="BL6" s="50">
        <f>VLOOKUP(BK6,$AA$5:$AI$26,9,FALSE)</f>
        <v>0</v>
      </c>
      <c r="BM6" s="50">
        <f>VLOOKUP(BK6,$AA$5:$AI$26,6,FALSE)</f>
        <v>0</v>
      </c>
      <c r="BN6" s="50">
        <v>2</v>
      </c>
      <c r="BP6" s="50" t="str">
        <f>IF(AO6=BP$5,AO$5,AO6)</f>
        <v>Греция</v>
      </c>
      <c r="BQ6" s="50">
        <f>VLOOKUP(BP6,$AA$5:$AI$26,9,FALSE)</f>
        <v>0</v>
      </c>
      <c r="BR6" s="50">
        <f>VLOOKUP(BP6,$AA$5:$AI$26,8,FALSE)</f>
        <v>0</v>
      </c>
      <c r="BS6" s="50" t="str">
        <f>IF(BQ6=BQ7,IF(BQ6=BQ8,IF(BR6&gt;=BR7,IF(BR6&gt;=BR8,BP6,BP8),IF(BR7&gt;=BR8,BP7,BP8)),IF(BR6&gt;=BR7,BP6,BP7)),BP6)</f>
        <v>Греция</v>
      </c>
      <c r="BT6" s="50">
        <f>VLOOKUP(BS6,$AA$5:$AI$26,9,FALSE)</f>
        <v>0</v>
      </c>
      <c r="BU6" s="50">
        <f>VLOOKUP(BS6,$AA$5:$AI$26,8,FALSE)</f>
        <v>0</v>
      </c>
      <c r="BV6" s="50" t="str">
        <f>BS6</f>
        <v>Греция</v>
      </c>
      <c r="BW6" s="50">
        <f>VLOOKUP(BV6,$AA$5:$AI$26,9,FALSE)</f>
        <v>0</v>
      </c>
      <c r="BX6" s="50">
        <f>VLOOKUP(BV6,$AA$5:$AI$26,8,FALSE)</f>
        <v>0</v>
      </c>
      <c r="BY6" s="50">
        <f>VLOOKUP(BV6,$AA$5:$AI$26,6,FALSE)</f>
        <v>0</v>
      </c>
      <c r="CA6" s="50" t="str">
        <f>IF(BV6=CA$5,BV$5,BV6)</f>
        <v>Греция</v>
      </c>
      <c r="CB6" s="50">
        <f>VLOOKUP(CA6,$AA$5:$AI$26,9,FALSE)</f>
        <v>0</v>
      </c>
      <c r="CC6" s="50">
        <f>VLOOKUP(CA6,$AA$5:$AI$26,8,FALSE)</f>
        <v>0</v>
      </c>
      <c r="CD6" s="50">
        <f>VLOOKUP(CA6,$AA$5:$AI$26,6,FALSE)</f>
        <v>0</v>
      </c>
      <c r="CE6" s="50" t="str">
        <f>IF(AND(CB6=CB7,CC6=CC7),IF(AND(CB6=CB8,CC6=CC8),IF(CD6&gt;=CD7,IF(CD6&gt;=CD8,CA6,CA8),IF(CD7&gt;=CD8,CA7,CA8)),IF(CD6&gt;=CD7,CA6,CA7)),CA6)</f>
        <v>Греция</v>
      </c>
      <c r="CF6" s="50">
        <f>VLOOKUP(CE6,$AA$5:$AI$26,9,FALSE)</f>
        <v>0</v>
      </c>
      <c r="CG6" s="50">
        <f>VLOOKUP(CE6,$AA$5:$AI$26,8,FALSE)</f>
        <v>0</v>
      </c>
      <c r="CH6" s="50">
        <f>VLOOKUP(CE6,$AA$5:$AI$26,6,FALSE)</f>
        <v>0</v>
      </c>
      <c r="CI6" s="68" t="str">
        <f>CE6</f>
        <v>Греция</v>
      </c>
      <c r="CJ6" s="68">
        <f>VLOOKUP(CI6,$AA$5:$AI$26,9,FALSE)</f>
        <v>0</v>
      </c>
      <c r="CK6" s="68">
        <f>VLOOKUP(CI6,$AA$5:$AI$26,8,FALSE)</f>
        <v>0</v>
      </c>
      <c r="CL6" s="68">
        <f>VLOOKUP(CI6,$AA$5:$AI$26,6,FALSE)</f>
        <v>0</v>
      </c>
      <c r="CN6" s="50" t="str">
        <f>CI6</f>
        <v>Греция</v>
      </c>
      <c r="CO6" s="50" t="str">
        <f>General_MA!CP6</f>
        <v>Греция</v>
      </c>
      <c r="CP6" s="50" t="str">
        <f>General_MA!CP6</f>
        <v>Греция</v>
      </c>
      <c r="CQ6" s="50" t="str">
        <f>CI6</f>
        <v>Греция</v>
      </c>
      <c r="CR6" s="50" t="str">
        <f>General_MA!CP5</f>
        <v>Португалия</v>
      </c>
      <c r="CS6" s="50" t="str">
        <f>General_MA!CP5</f>
        <v>Португалия</v>
      </c>
      <c r="CU6" s="50" t="str">
        <f>IF(OR(AP6=AP7,AP6=AP5),"X","")</f>
        <v>X</v>
      </c>
      <c r="CV6" s="50" t="str">
        <f>IF(CU6="x",IF(AP6=AP7,"y",""),"")</f>
        <v>y</v>
      </c>
      <c r="CX6" s="50" t="str">
        <f>IF(CU6="x",AO6,"")</f>
        <v>Греция</v>
      </c>
      <c r="DB6" s="50">
        <f>IF(CX6="",CI6,"")</f>
      </c>
    </row>
    <row r="7" spans="2:106" ht="11.25">
      <c r="B7" s="59" t="s">
        <v>6</v>
      </c>
      <c r="C7" s="60">
        <v>0.7083333333333333</v>
      </c>
      <c r="D7" s="59" t="s">
        <v>7</v>
      </c>
      <c r="E7" s="61" t="s">
        <v>40</v>
      </c>
      <c r="F7" s="45" t="s">
        <v>49</v>
      </c>
      <c r="G7" s="45" t="s">
        <v>39</v>
      </c>
      <c r="H7" s="46" t="str">
        <f>VLOOKUP(F7,Teams!$A$2:$B$17,2,FALSE)</f>
        <v>Дания</v>
      </c>
      <c r="I7" s="46" t="str">
        <f>VLOOKUP(G7,Teams!$A$2:$B$17,2,FALSE)</f>
        <v>Италия</v>
      </c>
      <c r="J7" s="33"/>
      <c r="K7" s="33"/>
      <c r="L7" s="50">
        <f t="shared" si="0"/>
      </c>
      <c r="M7" s="50">
        <f t="shared" si="1"/>
      </c>
      <c r="O7" s="34" t="str">
        <f>HLOOKUP("YES",$CN$4:$CS$8,4,FALSE)</f>
        <v>Испания</v>
      </c>
      <c r="P7" s="35">
        <f>VLOOKUP($O7,$AA$5:$AI$26,2,FALSE)</f>
        <v>0</v>
      </c>
      <c r="Q7" s="35">
        <f>VLOOKUP($O7,$AA$5:$AI$26,3,FALSE)</f>
        <v>0</v>
      </c>
      <c r="R7" s="35">
        <f>VLOOKUP($O7,$AA$5:$AI$26,4,FALSE)</f>
        <v>0</v>
      </c>
      <c r="S7" s="35">
        <f>VLOOKUP($O7,$AA$5:$AI$26,5,FALSE)</f>
        <v>0</v>
      </c>
      <c r="T7" s="35">
        <f>VLOOKUP($O7,$AA$5:$AI$26,6,FALSE)</f>
        <v>0</v>
      </c>
      <c r="U7" s="35">
        <f>VLOOKUP($O7,$AA$5:$AI$26,7,FALSE)</f>
        <v>0</v>
      </c>
      <c r="V7" s="35">
        <f>VLOOKUP($O7,$AA$5:$AI$26,8,FALSE)</f>
        <v>0</v>
      </c>
      <c r="W7" s="74">
        <f>VLOOKUP($O7,$AA$5:$AI$26,9,FALSE)</f>
        <v>0</v>
      </c>
      <c r="Z7" s="75" t="str">
        <f>Teams!A4</f>
        <v>A3</v>
      </c>
      <c r="AA7" s="75" t="str">
        <f>Teams!B4</f>
        <v>Испания</v>
      </c>
      <c r="AB7" s="50">
        <f>MAX(COUNT(A3_Pld),COUNT(A3_against))</f>
        <v>0</v>
      </c>
      <c r="AC7" s="76">
        <f>COUNTIF($L$3:$L$26,AA7)</f>
        <v>0</v>
      </c>
      <c r="AD7" s="76">
        <f>COUNTIF($M$3:$M$26,AA7)</f>
        <v>0</v>
      </c>
      <c r="AE7" s="76">
        <f>AB7-AC7-AD7</f>
        <v>0</v>
      </c>
      <c r="AF7" s="76">
        <f>SUM(A3_Pld)</f>
        <v>0</v>
      </c>
      <c r="AG7" s="76">
        <f>SUM(A3_against)</f>
        <v>0</v>
      </c>
      <c r="AH7" s="76">
        <f>AF7-AG7</f>
        <v>0</v>
      </c>
      <c r="AI7" s="76">
        <f>AC7*3+AE7*1</f>
        <v>0</v>
      </c>
      <c r="AK7" s="50" t="str">
        <f>IF(AA7=AK$5,AA$5,AA7)</f>
        <v>Испания</v>
      </c>
      <c r="AL7" s="50">
        <f>VLOOKUP(AK7,$AA$5:$AI$26,9,FALSE)</f>
        <v>0</v>
      </c>
      <c r="AM7" s="50" t="str">
        <f>IF(AK7=AM$6,AK$6,AK7)</f>
        <v>Испания</v>
      </c>
      <c r="AN7" s="50">
        <f>VLOOKUP(AM7,$AA$5:$AI$26,9,FALSE)</f>
        <v>0</v>
      </c>
      <c r="AO7" s="50" t="str">
        <f>IF(AN7&gt;=AN8,AM7,AM8)</f>
        <v>Испания</v>
      </c>
      <c r="AP7" s="50">
        <f>VLOOKUP(AO7,$AA$5:$AI$26,9,FALSE)</f>
        <v>0</v>
      </c>
      <c r="AQ7" s="50">
        <f t="shared" si="2"/>
        <v>0</v>
      </c>
      <c r="AS7" s="50" t="str">
        <f>IF(AO7=AS$5,AO$5,AO7)</f>
        <v>Испания</v>
      </c>
      <c r="AT7" s="50">
        <f>VLOOKUP(AS7,$AA$5:$AI$26,9,FALSE)</f>
        <v>0</v>
      </c>
      <c r="AU7" s="50">
        <f>VLOOKUP(AS7,$AA$5:$AI$26,8,FALSE)</f>
        <v>0</v>
      </c>
      <c r="AV7" s="50" t="str">
        <f>IF(AS7=AV$6,AS$6,AS7)</f>
        <v>Испания</v>
      </c>
      <c r="AW7" s="50">
        <f>VLOOKUP(AV7,$AA$5:$AI$26,9,FALSE)</f>
        <v>0</v>
      </c>
      <c r="AX7" s="50">
        <f>VLOOKUP(AV7,$AA$5:$AI$26,8,FALSE)</f>
        <v>0</v>
      </c>
      <c r="AY7" s="50" t="str">
        <f>IF(AX7&gt;=AX8,AV7,AV8)</f>
        <v>Испания</v>
      </c>
      <c r="AZ7" s="50">
        <f>VLOOKUP(AY7,$AA$5:$AI$26,9,FALSE)</f>
        <v>0</v>
      </c>
      <c r="BA7" s="50">
        <f>VLOOKUP(AY7,$AA$5:$AI$26,8,FALSE)</f>
        <v>0</v>
      </c>
      <c r="BB7" s="50">
        <v>3</v>
      </c>
      <c r="BC7" s="50">
        <f>VLOOKUP(AY7,$AA$5:$AI$26,6,FALSE)</f>
        <v>0</v>
      </c>
      <c r="BE7" s="50" t="str">
        <f>IF(AY7=BE$5,AY$5,AY7)</f>
        <v>Испания</v>
      </c>
      <c r="BF7" s="50">
        <f>VLOOKUP(BE7,$AA$5:$AI$26,9,FALSE)</f>
        <v>0</v>
      </c>
      <c r="BG7" s="50">
        <f>VLOOKUP(BE7,$AA$5:$AI$26,6,FALSE)</f>
        <v>0</v>
      </c>
      <c r="BH7" s="50" t="str">
        <f>IF(BE7=BH$6,BE$6,BE7)</f>
        <v>Испания</v>
      </c>
      <c r="BI7" s="50">
        <f>VLOOKUP(BH7,$AA$5:$AI$26,9,FALSE)</f>
        <v>0</v>
      </c>
      <c r="BJ7" s="50">
        <f>VLOOKUP(BH7,$AA$5:$AI$26,6,FALSE)</f>
        <v>0</v>
      </c>
      <c r="BK7" s="50" t="str">
        <f>IF(BJ7&gt;=BJ8,BH7,BH8)</f>
        <v>Испания</v>
      </c>
      <c r="BL7" s="50">
        <f>VLOOKUP(BK7,$AA$5:$AI$26,9,FALSE)</f>
        <v>0</v>
      </c>
      <c r="BM7" s="50">
        <f>VLOOKUP(BK7,$AA$5:$AI$26,6,FALSE)</f>
        <v>0</v>
      </c>
      <c r="BN7" s="50">
        <v>3</v>
      </c>
      <c r="BP7" s="50" t="str">
        <f>IF(AO7=BP$5,AO$5,AO7)</f>
        <v>Испания</v>
      </c>
      <c r="BQ7" s="50">
        <f>VLOOKUP(BP7,$AA$5:$AI$26,9,FALSE)</f>
        <v>0</v>
      </c>
      <c r="BR7" s="50">
        <f>VLOOKUP(BP7,$AA$5:$AI$26,8,FALSE)</f>
        <v>0</v>
      </c>
      <c r="BS7" s="50" t="str">
        <f>IF(BP7=BS$6,BP$6,BP7)</f>
        <v>Испания</v>
      </c>
      <c r="BT7" s="50">
        <f>VLOOKUP(BS7,$AA$5:$AI$26,9,FALSE)</f>
        <v>0</v>
      </c>
      <c r="BU7" s="50">
        <f>VLOOKUP(BS7,$AA$5:$AI$26,8,FALSE)</f>
        <v>0</v>
      </c>
      <c r="BV7" s="50" t="str">
        <f>IF(BT7=BT8,IF(BU7&gt;=BU8,BS7,BS8),BS7)</f>
        <v>Испания</v>
      </c>
      <c r="BW7" s="50">
        <f>VLOOKUP(BV7,$AA$5:$AI$26,9,FALSE)</f>
        <v>0</v>
      </c>
      <c r="BX7" s="50">
        <f>VLOOKUP(BV7,$AA$5:$AI$26,8,FALSE)</f>
        <v>0</v>
      </c>
      <c r="BY7" s="50">
        <f>VLOOKUP(BV7,$AA$5:$AI$26,6,FALSE)</f>
        <v>0</v>
      </c>
      <c r="CA7" s="50" t="str">
        <f>IF(BV7=CA$5,BV$5,BV7)</f>
        <v>Испания</v>
      </c>
      <c r="CB7" s="50">
        <f>VLOOKUP(CA7,$AA$5:$AI$26,9,FALSE)</f>
        <v>0</v>
      </c>
      <c r="CC7" s="50">
        <f>VLOOKUP(CA7,$AA$5:$AI$26,8,FALSE)</f>
        <v>0</v>
      </c>
      <c r="CD7" s="50">
        <f>VLOOKUP(CA7,$AA$5:$AI$26,6,FALSE)</f>
        <v>0</v>
      </c>
      <c r="CE7" s="50" t="str">
        <f>IF(CA7=CE$6,CA$6,CA7)</f>
        <v>Испания</v>
      </c>
      <c r="CF7" s="50">
        <f>VLOOKUP(CE7,$AA$5:$AI$26,9,FALSE)</f>
        <v>0</v>
      </c>
      <c r="CG7" s="50">
        <f>VLOOKUP(CE7,$AA$5:$AI$26,8,FALSE)</f>
        <v>0</v>
      </c>
      <c r="CH7" s="50">
        <f>VLOOKUP(CE7,$AA$5:$AI$26,6,FALSE)</f>
        <v>0</v>
      </c>
      <c r="CI7" s="68" t="str">
        <f>IF(AND(CF7=CF8,CG7=CG8),IF(CH7&gt;=CH8,CE7,CE8),CE7)</f>
        <v>Испания</v>
      </c>
      <c r="CJ7" s="68">
        <f>VLOOKUP(CI7,$AA$5:$AI$26,9,FALSE)</f>
        <v>0</v>
      </c>
      <c r="CK7" s="68">
        <f>VLOOKUP(CI7,$AA$5:$AI$26,8,FALSE)</f>
        <v>0</v>
      </c>
      <c r="CL7" s="68">
        <f>VLOOKUP(CI7,$AA$5:$AI$26,6,FALSE)</f>
        <v>0</v>
      </c>
      <c r="CN7" s="50" t="str">
        <f>CI7</f>
        <v>Испания</v>
      </c>
      <c r="CO7" s="50" t="str">
        <f>CI7</f>
        <v>Испания</v>
      </c>
      <c r="CP7" s="50" t="str">
        <f>General_MA!CP7</f>
        <v>Испания</v>
      </c>
      <c r="CQ7" s="50" t="str">
        <f>CI7</f>
        <v>Испания</v>
      </c>
      <c r="CR7" s="50" t="str">
        <f>General_MA!CP6</f>
        <v>Греция</v>
      </c>
      <c r="CS7" s="50" t="str">
        <f>General_MA!CP6</f>
        <v>Греция</v>
      </c>
      <c r="CU7" s="50" t="str">
        <f>IF(OR(AP7=AP8,AP7=AP6),"X","")</f>
        <v>X</v>
      </c>
      <c r="CV7" s="50" t="str">
        <f>IF(CU7="x",IF(AP7=AP8,"y",""),"")</f>
        <v>y</v>
      </c>
      <c r="CX7" s="50" t="str">
        <f>IF(CU7="x",AO7,"")</f>
        <v>Испания</v>
      </c>
      <c r="DB7" s="50">
        <f>IF(AND(CU$9=4,CV$9=2),CX7,IF(CX7="",CI7,""))</f>
      </c>
    </row>
    <row r="8" spans="2:106" ht="11.25">
      <c r="B8" s="59" t="s">
        <v>6</v>
      </c>
      <c r="C8" s="60">
        <v>0.8229166666666666</v>
      </c>
      <c r="D8" s="59" t="s">
        <v>128</v>
      </c>
      <c r="E8" s="61" t="s">
        <v>40</v>
      </c>
      <c r="F8" s="45" t="s">
        <v>50</v>
      </c>
      <c r="G8" s="45" t="s">
        <v>41</v>
      </c>
      <c r="H8" s="46" t="str">
        <f>VLOOKUP(F8,Teams!$A$2:$B$17,2,FALSE)</f>
        <v>Швеция</v>
      </c>
      <c r="I8" s="46" t="str">
        <f>VLOOKUP(G8,Teams!$A$2:$B$17,2,FALSE)</f>
        <v>Болгария</v>
      </c>
      <c r="J8" s="33"/>
      <c r="K8" s="33"/>
      <c r="L8" s="50">
        <f t="shared" si="0"/>
      </c>
      <c r="M8" s="50">
        <f t="shared" si="1"/>
      </c>
      <c r="O8" s="36" t="str">
        <f>HLOOKUP("YES",$CN$4:$CS$8,5,FALSE)</f>
        <v>Россия</v>
      </c>
      <c r="P8" s="37">
        <f>VLOOKUP($O8,$AA$5:$AI$26,2,FALSE)</f>
        <v>0</v>
      </c>
      <c r="Q8" s="37">
        <f>VLOOKUP($O8,$AA$5:$AI$26,3,FALSE)</f>
        <v>0</v>
      </c>
      <c r="R8" s="37">
        <f>VLOOKUP($O8,$AA$5:$AI$26,4,FALSE)</f>
        <v>0</v>
      </c>
      <c r="S8" s="37">
        <f>VLOOKUP($O8,$AA$5:$AI$26,5,FALSE)</f>
        <v>0</v>
      </c>
      <c r="T8" s="37">
        <f>VLOOKUP($O8,$AA$5:$AI$26,6,FALSE)</f>
        <v>0</v>
      </c>
      <c r="U8" s="37">
        <f>VLOOKUP($O8,$AA$5:$AI$26,7,FALSE)</f>
        <v>0</v>
      </c>
      <c r="V8" s="37">
        <f>VLOOKUP($O8,$AA$5:$AI$26,8,FALSE)</f>
        <v>0</v>
      </c>
      <c r="W8" s="77">
        <f>VLOOKUP($O8,$AA$5:$AI$26,9,FALSE)</f>
        <v>0</v>
      </c>
      <c r="Z8" s="75" t="str">
        <f>Teams!A5</f>
        <v>A4</v>
      </c>
      <c r="AA8" s="75" t="str">
        <f>Teams!B5</f>
        <v>Россия</v>
      </c>
      <c r="AB8" s="50">
        <f>MAX(COUNT(A4_Pld),COUNT(A4_against))</f>
        <v>0</v>
      </c>
      <c r="AC8" s="76">
        <f>COUNTIF($L$3:$L$26,AA8)</f>
        <v>0</v>
      </c>
      <c r="AD8" s="76">
        <f>COUNTIF($M$3:$M$26,AA8)</f>
        <v>0</v>
      </c>
      <c r="AE8" s="76">
        <f>AB8-AC8-AD8</f>
        <v>0</v>
      </c>
      <c r="AF8" s="76">
        <f>SUM(A4_Pld)</f>
        <v>0</v>
      </c>
      <c r="AG8" s="76">
        <f>SUM(A4_against)</f>
        <v>0</v>
      </c>
      <c r="AH8" s="76">
        <f>AF8-AG8</f>
        <v>0</v>
      </c>
      <c r="AI8" s="76">
        <f>AC8*3+AE8*1</f>
        <v>0</v>
      </c>
      <c r="AK8" s="50" t="str">
        <f>IF(AA8=AK$5,AA$5,AA8)</f>
        <v>Россия</v>
      </c>
      <c r="AL8" s="50">
        <f>VLOOKUP(AK8,$AA$5:$AI$26,9,FALSE)</f>
        <v>0</v>
      </c>
      <c r="AM8" s="50" t="str">
        <f>IF(AK8=AM$6,AK$6,AK8)</f>
        <v>Россия</v>
      </c>
      <c r="AN8" s="50">
        <f>VLOOKUP(AM8,$AA$5:$AI$26,9,FALSE)</f>
        <v>0</v>
      </c>
      <c r="AO8" s="50" t="str">
        <f>IF(AM8=AO7,AM7,AM8)</f>
        <v>Россия</v>
      </c>
      <c r="AP8" s="50">
        <f>VLOOKUP(AO8,$AA$5:$AI$26,9,FALSE)</f>
        <v>0</v>
      </c>
      <c r="AQ8" s="50">
        <f t="shared" si="2"/>
        <v>0</v>
      </c>
      <c r="AS8" s="50" t="str">
        <f>IF(AO8=AS$5,AO$5,AO8)</f>
        <v>Россия</v>
      </c>
      <c r="AT8" s="50">
        <f>VLOOKUP(AS8,$AA$5:$AI$26,9,FALSE)</f>
        <v>0</v>
      </c>
      <c r="AU8" s="50">
        <f>VLOOKUP(AS8,$AA$5:$AI$26,8,FALSE)</f>
        <v>0</v>
      </c>
      <c r="AV8" s="50" t="str">
        <f>IF(AS8=AV$6,AS$6,AS8)</f>
        <v>Россия</v>
      </c>
      <c r="AW8" s="50">
        <f>VLOOKUP(AV8,$AA$5:$AI$26,9,FALSE)</f>
        <v>0</v>
      </c>
      <c r="AX8" s="50">
        <f>VLOOKUP(AV8,$AA$5:$AI$26,8,FALSE)</f>
        <v>0</v>
      </c>
      <c r="AY8" s="50" t="str">
        <f>IF(AV8=AY7,AV7,AV8)</f>
        <v>Россия</v>
      </c>
      <c r="AZ8" s="50">
        <f>VLOOKUP(AY8,$AA$5:$AI$26,9,FALSE)</f>
        <v>0</v>
      </c>
      <c r="BA8" s="50">
        <f>VLOOKUP(AY8,$AA$5:$AI$26,8,FALSE)</f>
        <v>0</v>
      </c>
      <c r="BB8" s="50">
        <v>4</v>
      </c>
      <c r="BC8" s="50">
        <f>VLOOKUP(AY8,$AA$5:$AI$26,6,FALSE)</f>
        <v>0</v>
      </c>
      <c r="BE8" s="50" t="str">
        <f>IF(AY8=BE$5,AY$5,AY8)</f>
        <v>Россия</v>
      </c>
      <c r="BF8" s="50">
        <f>VLOOKUP(BE8,$AA$5:$AI$26,9,FALSE)</f>
        <v>0</v>
      </c>
      <c r="BG8" s="50">
        <f>VLOOKUP(BE8,$AA$5:$AI$26,6,FALSE)</f>
        <v>0</v>
      </c>
      <c r="BH8" s="50" t="str">
        <f>IF(BE8=BH$6,BE$6,BE8)</f>
        <v>Россия</v>
      </c>
      <c r="BI8" s="50">
        <f>VLOOKUP(BH8,$AA$5:$AI$26,9,FALSE)</f>
        <v>0</v>
      </c>
      <c r="BJ8" s="50">
        <f>VLOOKUP(BH8,$AA$5:$AI$26,6,FALSE)</f>
        <v>0</v>
      </c>
      <c r="BK8" s="50" t="str">
        <f>IF(BH8=BK7,BH7,BH8)</f>
        <v>Россия</v>
      </c>
      <c r="BL8" s="50">
        <f>VLOOKUP(BK8,$AA$5:$AI$26,9,FALSE)</f>
        <v>0</v>
      </c>
      <c r="BM8" s="50">
        <f>VLOOKUP(BK8,$AA$5:$AI$26,6,FALSE)</f>
        <v>0</v>
      </c>
      <c r="BN8" s="50">
        <v>4</v>
      </c>
      <c r="BP8" s="50" t="str">
        <f>IF(AO8=BP$5,AO$5,AO8)</f>
        <v>Россия</v>
      </c>
      <c r="BQ8" s="50">
        <f>VLOOKUP(BP8,$AA$5:$AI$26,9,FALSE)</f>
        <v>0</v>
      </c>
      <c r="BR8" s="50">
        <f>VLOOKUP(BP8,$AA$5:$AI$26,8,FALSE)</f>
        <v>0</v>
      </c>
      <c r="BS8" s="50" t="str">
        <f>IF(BP8=BS$6,BP$6,BP8)</f>
        <v>Россия</v>
      </c>
      <c r="BT8" s="50">
        <f>VLOOKUP(BS8,$AA$5:$AI$26,9,FALSE)</f>
        <v>0</v>
      </c>
      <c r="BU8" s="50">
        <f>VLOOKUP(BS8,$AA$5:$AI$26,8,FALSE)</f>
        <v>0</v>
      </c>
      <c r="BV8" s="50" t="str">
        <f>IF(BS8=BV7,BS7,BS8)</f>
        <v>Россия</v>
      </c>
      <c r="BW8" s="50">
        <f>VLOOKUP(BV8,$AA$5:$AI$26,9,FALSE)</f>
        <v>0</v>
      </c>
      <c r="BX8" s="50">
        <f>VLOOKUP(BV8,$AA$5:$AI$26,8,FALSE)</f>
        <v>0</v>
      </c>
      <c r="BY8" s="50">
        <f>VLOOKUP(BV8,$AA$5:$AI$26,6,FALSE)</f>
        <v>0</v>
      </c>
      <c r="CA8" s="50" t="str">
        <f>IF(BV8=CA$5,BV$5,BV8)</f>
        <v>Россия</v>
      </c>
      <c r="CB8" s="50">
        <f>VLOOKUP(CA8,$AA$5:$AI$26,9,FALSE)</f>
        <v>0</v>
      </c>
      <c r="CC8" s="50">
        <f>VLOOKUP(CA8,$AA$5:$AI$26,8,FALSE)</f>
        <v>0</v>
      </c>
      <c r="CD8" s="50">
        <f>VLOOKUP(CA8,$AA$5:$AI$26,6,FALSE)</f>
        <v>0</v>
      </c>
      <c r="CE8" s="50" t="str">
        <f>IF(CA8=CE$6,CA$6,CA8)</f>
        <v>Россия</v>
      </c>
      <c r="CF8" s="50">
        <f>VLOOKUP(CE8,$AA$5:$AI$26,9,FALSE)</f>
        <v>0</v>
      </c>
      <c r="CG8" s="50">
        <f>VLOOKUP(CE8,$AA$5:$AI$26,8,FALSE)</f>
        <v>0</v>
      </c>
      <c r="CH8" s="50">
        <f>VLOOKUP(CE8,$AA$5:$AI$26,6,FALSE)</f>
        <v>0</v>
      </c>
      <c r="CI8" s="68" t="str">
        <f>IF(CE8=CI7,CE7,CE8)</f>
        <v>Россия</v>
      </c>
      <c r="CJ8" s="68">
        <f>VLOOKUP(CI8,$AA$5:$AI$26,9,FALSE)</f>
        <v>0</v>
      </c>
      <c r="CK8" s="68">
        <f>VLOOKUP(CI8,$AA$5:$AI$26,8,FALSE)</f>
        <v>0</v>
      </c>
      <c r="CL8" s="68">
        <f>VLOOKUP(CI8,$AA$5:$AI$26,6,FALSE)</f>
        <v>0</v>
      </c>
      <c r="CN8" s="50" t="str">
        <f>CI8</f>
        <v>Россия</v>
      </c>
      <c r="CO8" s="50" t="str">
        <f>CI8</f>
        <v>Россия</v>
      </c>
      <c r="CP8" s="50" t="str">
        <f>CI8</f>
        <v>Россия</v>
      </c>
      <c r="CQ8" s="50" t="str">
        <f>CI8</f>
        <v>Россия</v>
      </c>
      <c r="CR8" s="50" t="str">
        <f>CQ8</f>
        <v>Россия</v>
      </c>
      <c r="CS8" s="50" t="str">
        <f>General_MA!CP7</f>
        <v>Испания</v>
      </c>
      <c r="CU8" s="50" t="str">
        <f>IF(OR(AP8=AP9,AP8=AP7),"X","")</f>
        <v>X</v>
      </c>
      <c r="CV8" s="50">
        <f>IF(CU8="x",IF(AP8=AP9,"y",""),"")</f>
      </c>
      <c r="CX8" s="50" t="str">
        <f>IF(CU8="x",AO8,"")</f>
        <v>Россия</v>
      </c>
      <c r="DB8" s="50">
        <f>IF(AND(CU$9=4,CV$9=2),CX8,IF(CX8="",CI8,""))</f>
      </c>
    </row>
    <row r="9" spans="2:105" ht="11.25">
      <c r="B9" s="59" t="s">
        <v>9</v>
      </c>
      <c r="C9" s="60">
        <v>0.7083333333333334</v>
      </c>
      <c r="D9" s="59" t="s">
        <v>10</v>
      </c>
      <c r="E9" s="61" t="s">
        <v>43</v>
      </c>
      <c r="F9" s="45" t="s">
        <v>52</v>
      </c>
      <c r="G9" s="45" t="s">
        <v>44</v>
      </c>
      <c r="H9" s="46" t="str">
        <f>VLOOKUP(F9,Teams!$A$2:$B$17,2,FALSE)</f>
        <v>Чехия</v>
      </c>
      <c r="I9" s="46" t="str">
        <f>VLOOKUP(G9,Teams!$A$2:$B$17,2,FALSE)</f>
        <v>Латвия</v>
      </c>
      <c r="J9" s="33"/>
      <c r="K9" s="33"/>
      <c r="L9" s="50">
        <f t="shared" si="0"/>
      </c>
      <c r="M9" s="50">
        <f t="shared" si="1"/>
      </c>
      <c r="O9" s="38" t="s">
        <v>146</v>
      </c>
      <c r="P9" s="39"/>
      <c r="Q9" s="39"/>
      <c r="R9" s="39"/>
      <c r="S9" s="39"/>
      <c r="T9" s="39"/>
      <c r="U9" s="39"/>
      <c r="V9" s="39"/>
      <c r="W9" s="78"/>
      <c r="AA9" s="65" t="s">
        <v>105</v>
      </c>
      <c r="AB9" s="66"/>
      <c r="AC9" s="66"/>
      <c r="AD9" s="66"/>
      <c r="AE9" s="66"/>
      <c r="AF9" s="66"/>
      <c r="AG9" s="66"/>
      <c r="AH9" s="66"/>
      <c r="AI9" s="66"/>
      <c r="AP9" s="50" t="s">
        <v>75</v>
      </c>
      <c r="CI9" s="68"/>
      <c r="CJ9" s="68"/>
      <c r="CK9" s="68"/>
      <c r="CL9" s="68"/>
      <c r="CU9" s="50">
        <f>COUNTIF(CU5:CU8,"X")</f>
        <v>4</v>
      </c>
      <c r="CV9" s="50">
        <f>COUNTIF(CV5:CV8,"y")</f>
        <v>3</v>
      </c>
      <c r="CY9" s="50" t="b">
        <f>OR(CU9=2,AND(CU9=4,CV9&lt;3))</f>
        <v>0</v>
      </c>
      <c r="CZ9" s="50" t="str">
        <f>IF(CJ6=CJ7,"NO","YES")</f>
        <v>NO</v>
      </c>
      <c r="DA9" s="50">
        <f>IF(AND(CY9=TRUE,CZ9="YES"),2,4-COUNTIF(CX5:CX8,""))</f>
        <v>4</v>
      </c>
    </row>
    <row r="10" spans="2:97" ht="11.25">
      <c r="B10" s="59" t="s">
        <v>9</v>
      </c>
      <c r="C10" s="60">
        <v>0.8229166666666666</v>
      </c>
      <c r="D10" s="59" t="s">
        <v>1</v>
      </c>
      <c r="E10" s="61" t="s">
        <v>43</v>
      </c>
      <c r="F10" s="45" t="s">
        <v>51</v>
      </c>
      <c r="G10" s="45" t="s">
        <v>42</v>
      </c>
      <c r="H10" s="46" t="str">
        <f>VLOOKUP(F10,Teams!$A$2:$B$17,2,FALSE)</f>
        <v>Германия</v>
      </c>
      <c r="I10" s="46" t="str">
        <f>VLOOKUP(G10,Teams!$A$2:$B$17,2,FALSE)</f>
        <v>Нидерланды</v>
      </c>
      <c r="J10" s="33"/>
      <c r="K10" s="33"/>
      <c r="L10" s="50">
        <f t="shared" si="0"/>
      </c>
      <c r="M10" s="50">
        <f t="shared" si="1"/>
      </c>
      <c r="O10" s="40"/>
      <c r="P10" s="71" t="s">
        <v>139</v>
      </c>
      <c r="Q10" s="71" t="s">
        <v>140</v>
      </c>
      <c r="R10" s="71" t="s">
        <v>141</v>
      </c>
      <c r="S10" s="71" t="s">
        <v>140</v>
      </c>
      <c r="T10" s="71" t="s">
        <v>142</v>
      </c>
      <c r="U10" s="71" t="s">
        <v>143</v>
      </c>
      <c r="V10" s="71" t="s">
        <v>144</v>
      </c>
      <c r="W10" s="72" t="s">
        <v>145</v>
      </c>
      <c r="AA10" s="49"/>
      <c r="AB10" s="73" t="s">
        <v>65</v>
      </c>
      <c r="AC10" s="73" t="s">
        <v>66</v>
      </c>
      <c r="AD10" s="73" t="s">
        <v>67</v>
      </c>
      <c r="AE10" s="73" t="s">
        <v>43</v>
      </c>
      <c r="AF10" s="73" t="s">
        <v>68</v>
      </c>
      <c r="AG10" s="73" t="s">
        <v>34</v>
      </c>
      <c r="AH10" s="73" t="s">
        <v>69</v>
      </c>
      <c r="AI10" s="73" t="s">
        <v>70</v>
      </c>
      <c r="CI10" s="68"/>
      <c r="CJ10" s="68"/>
      <c r="CK10" s="68"/>
      <c r="CL10" s="68"/>
      <c r="CN10" s="50" t="str">
        <f>IF(COUNTIF(CU11:CU12,"x")=0,"YES","NO")</f>
        <v>NO</v>
      </c>
      <c r="CO10" s="50" t="str">
        <f>IF(AND(CU11="X",CU12="X",CV12&lt;&gt;"Y"),"YES","NO")</f>
        <v>NO</v>
      </c>
      <c r="CP10" s="50" t="str">
        <f>IF(AND(CU11="X",CU12="X",CU13="X",CU14&lt;&gt;"X"),"YES","NO")</f>
        <v>NO</v>
      </c>
      <c r="CQ10" s="50" t="str">
        <f>IF(AND(CU15=4,CV15=3),"YES","NO")</f>
        <v>YES</v>
      </c>
      <c r="CR10" s="50" t="str">
        <f>IF(AND(CU12="X",CU13="X",CU14="",CU11=""),"YES","NO")</f>
        <v>NO</v>
      </c>
      <c r="CS10" s="50" t="str">
        <f>IF(AND(CU12="X",CU13="X",CU14="X",CU11=""),"YES","NO")</f>
        <v>NO</v>
      </c>
    </row>
    <row r="11" spans="2:106" ht="11.25">
      <c r="B11" s="59" t="s">
        <v>11</v>
      </c>
      <c r="C11" s="60">
        <v>0.7083333333333333</v>
      </c>
      <c r="D11" s="59" t="s">
        <v>125</v>
      </c>
      <c r="E11" s="61" t="s">
        <v>34</v>
      </c>
      <c r="F11" s="45" t="s">
        <v>33</v>
      </c>
      <c r="G11" s="45" t="s">
        <v>45</v>
      </c>
      <c r="H11" s="46" t="str">
        <f>VLOOKUP(F11,Teams!$A$2:$B$17,2,FALSE)</f>
        <v>Греция</v>
      </c>
      <c r="I11" s="46" t="str">
        <f>VLOOKUP(G11,Teams!$A$2:$B$17,2,FALSE)</f>
        <v>Испания</v>
      </c>
      <c r="J11" s="33"/>
      <c r="K11" s="33"/>
      <c r="L11" s="50">
        <f t="shared" si="0"/>
      </c>
      <c r="M11" s="50">
        <f t="shared" si="1"/>
      </c>
      <c r="O11" s="41" t="str">
        <f>HLOOKUP("YES",$CN$10:$CS$14,2,FALSE)</f>
        <v>Франция</v>
      </c>
      <c r="P11" s="42">
        <f>VLOOKUP($O11,$AA$5:$AI$26,2,FALSE)</f>
        <v>0</v>
      </c>
      <c r="Q11" s="42">
        <f>VLOOKUP($O11,$AA$5:$AI$26,3,FALSE)</f>
        <v>0</v>
      </c>
      <c r="R11" s="42">
        <f>VLOOKUP($O11,$AA$5:$AI$26,4,FALSE)</f>
        <v>0</v>
      </c>
      <c r="S11" s="42">
        <f>VLOOKUP($O11,$AA$5:$AI$26,5,FALSE)</f>
        <v>0</v>
      </c>
      <c r="T11" s="42">
        <f>VLOOKUP($O11,$AA$5:$AI$26,6,FALSE)</f>
        <v>0</v>
      </c>
      <c r="U11" s="42">
        <f>VLOOKUP($O11,$AA$5:$AI$26,7,FALSE)</f>
        <v>0</v>
      </c>
      <c r="V11" s="42">
        <f>VLOOKUP($O11,$AA$5:$AI$26,8,FALSE)</f>
        <v>0</v>
      </c>
      <c r="W11" s="79">
        <f>VLOOKUP($O11,$AA$5:$AI$26,9,FALSE)</f>
        <v>0</v>
      </c>
      <c r="Z11" s="75" t="str">
        <f>Teams!A6</f>
        <v>B1</v>
      </c>
      <c r="AA11" s="75" t="str">
        <f>Teams!B6</f>
        <v>Франция</v>
      </c>
      <c r="AB11" s="50">
        <f>MAX(COUNT(B1_Pld),COUNT(B1_against))</f>
        <v>0</v>
      </c>
      <c r="AC11" s="76">
        <f>COUNTIF($L$3:$L$26,AA11)</f>
        <v>0</v>
      </c>
      <c r="AD11" s="76">
        <f>COUNTIF($M$3:$M$26,AA11)</f>
        <v>0</v>
      </c>
      <c r="AE11" s="76">
        <f>AB11-AC11-AD11</f>
        <v>0</v>
      </c>
      <c r="AF11" s="76">
        <f>SUM(B1_Pld)</f>
        <v>0</v>
      </c>
      <c r="AG11" s="76">
        <f>SUM(B1_against)</f>
        <v>0</v>
      </c>
      <c r="AH11" s="76">
        <f>AF11-AG11</f>
        <v>0</v>
      </c>
      <c r="AI11" s="76">
        <f>AC11*3+AE11*1</f>
        <v>0</v>
      </c>
      <c r="AK11" s="50" t="str">
        <f>IF(AI11&gt;=AI12,IF(AI11&gt;=AI13,IF(AI11&gt;=AI14,AA11,AA14),IF(AI13&gt;=AI12,IF(AI13&gt;=AI14,AA13,AA14),IF(AI12&gt;=AI14,AA12,AA14))),IF(AI12&gt;=AI13,IF(AI12&gt;=AI14,AA12,AA14),IF(AI13&gt;=AI14,AA13,AA14)))</f>
        <v>Франция</v>
      </c>
      <c r="AL11" s="50">
        <f>VLOOKUP(AK11,$AA$5:$AI$26,9,FALSE)</f>
        <v>0</v>
      </c>
      <c r="AM11" s="50" t="str">
        <f>AK11</f>
        <v>Франция</v>
      </c>
      <c r="AN11" s="50">
        <f>VLOOKUP(AM11,$AA$5:$AI$26,9,FALSE)</f>
        <v>0</v>
      </c>
      <c r="AO11" s="50" t="str">
        <f>AM11</f>
        <v>Франция</v>
      </c>
      <c r="AP11" s="50">
        <f>VLOOKUP(AO11,$AA$5:$AI$26,9,FALSE)</f>
        <v>0</v>
      </c>
      <c r="AQ11" s="50">
        <f t="shared" si="2"/>
        <v>0</v>
      </c>
      <c r="AS11" s="50" t="str">
        <f>IF(AQ11&gt;=AQ12,IF(AQ11&gt;=AQ13,IF(AQ11&gt;=AQ14,AO11,AO14),IF(AQ13&gt;=AQ12,IF(AQ13&gt;=AQ14,AO13,AO14),IF(AQ12&gt;=AQ14,AO12,AO14))),IF(AQ12&gt;=AQ13,IF(AQ12&gt;=AQ14,AO12,AO14),IF(AQ13&gt;=AQ14,AO13,AO14)))</f>
        <v>Франция</v>
      </c>
      <c r="AT11" s="50">
        <f>VLOOKUP(AS11,$AA$5:$AI$26,9,FALSE)</f>
        <v>0</v>
      </c>
      <c r="AU11" s="50">
        <f>VLOOKUP(AS11,$AA$5:$AI$26,8,FALSE)</f>
        <v>0</v>
      </c>
      <c r="AV11" s="50" t="str">
        <f>AS11</f>
        <v>Франция</v>
      </c>
      <c r="AW11" s="50">
        <f>VLOOKUP(AV11,$AA$5:$AI$26,9,FALSE)</f>
        <v>0</v>
      </c>
      <c r="AX11" s="50">
        <f>VLOOKUP(AV11,$AA$5:$AI$26,8,FALSE)</f>
        <v>0</v>
      </c>
      <c r="AY11" s="50" t="str">
        <f>AV11</f>
        <v>Франция</v>
      </c>
      <c r="AZ11" s="50">
        <f>VLOOKUP(AY11,$AA$5:$AI$26,9,FALSE)</f>
        <v>0</v>
      </c>
      <c r="BA11" s="50">
        <f>VLOOKUP(AY11,$AA$5:$AI$26,8,FALSE)</f>
        <v>0</v>
      </c>
      <c r="BB11" s="50">
        <v>1</v>
      </c>
      <c r="BC11" s="50">
        <f>VLOOKUP(AY11,$AA$5:$AI$26,6,FALSE)</f>
        <v>0</v>
      </c>
      <c r="BE11" s="50" t="str">
        <f>IF(BC11&gt;=BC12,IF(BC11&gt;=BC13,IF(BC11&gt;=BC14,AY11,AY14),IF(BC13&gt;=BC12,IF(BC13&gt;=BC14,AY13,AY14),IF(BC12&gt;=BC14,AY12,AY14))),IF(BC12&gt;=BC13,IF(BC12&gt;=BC14,AY12,AY14),IF(BC13&gt;=BC14,AY13,AY14)))</f>
        <v>Франция</v>
      </c>
      <c r="BF11" s="50">
        <f>VLOOKUP(BE11,$AA$5:$AI$26,9,FALSE)</f>
        <v>0</v>
      </c>
      <c r="BG11" s="50">
        <f>VLOOKUP(BE11,$AA$5:$AI$26,6,FALSE)</f>
        <v>0</v>
      </c>
      <c r="BH11" s="50" t="str">
        <f>BE11</f>
        <v>Франция</v>
      </c>
      <c r="BI11" s="50">
        <f>VLOOKUP(BH11,$AA$5:$AI$26,9,FALSE)</f>
        <v>0</v>
      </c>
      <c r="BJ11" s="50">
        <f>VLOOKUP(BH11,$AA$5:$AI$26,6,FALSE)</f>
        <v>0</v>
      </c>
      <c r="BK11" s="50" t="str">
        <f>BH11</f>
        <v>Франция</v>
      </c>
      <c r="BL11" s="50">
        <f>VLOOKUP(BK11,$AA$5:$AI$26,9,FALSE)</f>
        <v>0</v>
      </c>
      <c r="BM11" s="50">
        <f>VLOOKUP(BK11,$AA$5:$AI$26,6,FALSE)</f>
        <v>0</v>
      </c>
      <c r="BN11" s="50">
        <v>1</v>
      </c>
      <c r="BP11" s="50" t="str">
        <f>IF(AP11=AP12,IF(AP11=AP13,IF(AP11=AP14,AY11,IF(AQ11&gt;=AQ12,IF(AQ11&gt;=AQ13,AO11,AO13),IF(AQ12&gt;=AQ13,AO12,AO13))),IF(AQ11&gt;=AQ12,AO11,AO12)),AO11)</f>
        <v>Франция</v>
      </c>
      <c r="BQ11" s="50">
        <f>VLOOKUP(BP11,$AA$5:$AI$26,9,FALSE)</f>
        <v>0</v>
      </c>
      <c r="BR11" s="50">
        <f>VLOOKUP(BP11,$AA$5:$AI$26,8,FALSE)</f>
        <v>0</v>
      </c>
      <c r="BS11" s="50" t="str">
        <f>BP11</f>
        <v>Франция</v>
      </c>
      <c r="BT11" s="50">
        <f>VLOOKUP(BS11,$AA$5:$AI$26,9,FALSE)</f>
        <v>0</v>
      </c>
      <c r="BU11" s="50">
        <f>VLOOKUP(BS11,$AA$5:$AI$26,8,FALSE)</f>
        <v>0</v>
      </c>
      <c r="BV11" s="50" t="str">
        <f>BS11</f>
        <v>Франция</v>
      </c>
      <c r="BW11" s="50">
        <f>VLOOKUP(BV11,$AA$5:$AI$26,9,FALSE)</f>
        <v>0</v>
      </c>
      <c r="BX11" s="50">
        <f>VLOOKUP(BV11,$AA$5:$AI$26,8,FALSE)</f>
        <v>0</v>
      </c>
      <c r="BY11" s="50">
        <f>VLOOKUP(BV11,$AA$5:$AI$26,6,FALSE)</f>
        <v>0</v>
      </c>
      <c r="CA11" s="50" t="str">
        <f>IF(AND(BW11=BW12,BX11=BX12),IF(AND(BW11=BW13,BX11=BX13),IF(AND(BW11=BW14,BX11=BX14),BK11,IF(BY11&gt;=BY12,IF(BY11&gt;=BY13,BV11,BV13),IF(BY12&gt;=BY13,BV12,BV13))),IF(BY11&gt;=BY12,BV11,BV12)),BV11)</f>
        <v>Франция</v>
      </c>
      <c r="CB11" s="50">
        <f>VLOOKUP(CA11,$AA$5:$AI$26,9,FALSE)</f>
        <v>0</v>
      </c>
      <c r="CC11" s="50">
        <f>VLOOKUP(CA11,$AA$5:$AI$26,8,FALSE)</f>
        <v>0</v>
      </c>
      <c r="CD11" s="50">
        <f>VLOOKUP(CA11,$AA$5:$AI$26,6,FALSE)</f>
        <v>0</v>
      </c>
      <c r="CE11" s="50" t="str">
        <f>CA11</f>
        <v>Франция</v>
      </c>
      <c r="CF11" s="50">
        <f>VLOOKUP(CE11,$AA$5:$AI$26,9,FALSE)</f>
        <v>0</v>
      </c>
      <c r="CG11" s="50">
        <f>VLOOKUP(CE11,$AA$5:$AI$26,8,FALSE)</f>
        <v>0</v>
      </c>
      <c r="CH11" s="50">
        <f>VLOOKUP(CE11,$AA$5:$AI$26,6,FALSE)</f>
        <v>0</v>
      </c>
      <c r="CI11" s="68" t="str">
        <f>CE11</f>
        <v>Франция</v>
      </c>
      <c r="CJ11" s="68">
        <f>VLOOKUP(CI11,$AA$5:$AI$26,9,FALSE)</f>
        <v>0</v>
      </c>
      <c r="CK11" s="68">
        <f>VLOOKUP(CI11,$AA$5:$AI$26,8,FALSE)</f>
        <v>0</v>
      </c>
      <c r="CL11" s="68">
        <f>VLOOKUP(CI11,$AA$5:$AI$26,6,FALSE)</f>
        <v>0</v>
      </c>
      <c r="CN11" s="50" t="str">
        <f>CI11</f>
        <v>Франция</v>
      </c>
      <c r="CO11" s="50" t="str">
        <f>General_MA!CP11</f>
        <v>Франция</v>
      </c>
      <c r="CP11" s="50" t="str">
        <f>General_MA!CP11</f>
        <v>Франция</v>
      </c>
      <c r="CQ11" s="50" t="str">
        <f>CI11</f>
        <v>Франция</v>
      </c>
      <c r="CR11" s="50" t="str">
        <f>CI11</f>
        <v>Франция</v>
      </c>
      <c r="CS11" s="50" t="str">
        <f>CR11</f>
        <v>Франция</v>
      </c>
      <c r="CU11" s="50" t="str">
        <f>IF(OR(AP11=AP12,AP11=AP10),"X","")</f>
        <v>X</v>
      </c>
      <c r="CV11" s="50" t="str">
        <f>IF(CU11="x",IF(AP11=AP12,"y",""),"")</f>
        <v>y</v>
      </c>
      <c r="CX11" s="50" t="str">
        <f>IF(CU11="x",AO11,"")</f>
        <v>Франция</v>
      </c>
      <c r="DB11" s="50">
        <f>IF(CX11="",CI11,"")</f>
      </c>
    </row>
    <row r="12" spans="2:106" ht="11.25">
      <c r="B12" s="59" t="s">
        <v>11</v>
      </c>
      <c r="C12" s="60">
        <v>0.8229166666666666</v>
      </c>
      <c r="D12" s="59" t="s">
        <v>127</v>
      </c>
      <c r="E12" s="61" t="s">
        <v>34</v>
      </c>
      <c r="F12" s="45" t="s">
        <v>35</v>
      </c>
      <c r="G12" s="45" t="s">
        <v>46</v>
      </c>
      <c r="H12" s="46" t="str">
        <f>VLOOKUP(F12,Teams!$A$2:$B$17,2,FALSE)</f>
        <v>Россия</v>
      </c>
      <c r="I12" s="46" t="str">
        <f>VLOOKUP(G12,Teams!$A$2:$B$17,2,FALSE)</f>
        <v>Португалия</v>
      </c>
      <c r="J12" s="33"/>
      <c r="K12" s="33"/>
      <c r="L12" s="50">
        <f t="shared" si="0"/>
      </c>
      <c r="M12" s="50">
        <f t="shared" si="1"/>
      </c>
      <c r="O12" s="41" t="str">
        <f>HLOOKUP("YES",$CN$10:$CS$14,3,FALSE)</f>
        <v>Англия</v>
      </c>
      <c r="P12" s="42">
        <f>VLOOKUP($O12,$AA$5:$AI$26,2,FALSE)</f>
        <v>0</v>
      </c>
      <c r="Q12" s="42">
        <f>VLOOKUP($O12,$AA$5:$AI$26,3,FALSE)</f>
        <v>0</v>
      </c>
      <c r="R12" s="42">
        <f>VLOOKUP($O12,$AA$5:$AI$26,4,FALSE)</f>
        <v>0</v>
      </c>
      <c r="S12" s="42">
        <f>VLOOKUP($O12,$AA$5:$AI$26,5,FALSE)</f>
        <v>0</v>
      </c>
      <c r="T12" s="42">
        <f>VLOOKUP($O12,$AA$5:$AI$26,6,FALSE)</f>
        <v>0</v>
      </c>
      <c r="U12" s="42">
        <f>VLOOKUP($O12,$AA$5:$AI$26,7,FALSE)</f>
        <v>0</v>
      </c>
      <c r="V12" s="42">
        <f>VLOOKUP($O12,$AA$5:$AI$26,8,FALSE)</f>
        <v>0</v>
      </c>
      <c r="W12" s="79">
        <f>VLOOKUP($O12,$AA$5:$AI$26,9,FALSE)</f>
        <v>0</v>
      </c>
      <c r="Z12" s="75" t="str">
        <f>Teams!A7</f>
        <v>B2</v>
      </c>
      <c r="AA12" s="75" t="str">
        <f>Teams!B7</f>
        <v>Англия</v>
      </c>
      <c r="AB12" s="50">
        <f>MAX(COUNT(B2_Pld),COUNT(B2_against))</f>
        <v>0</v>
      </c>
      <c r="AC12" s="76">
        <f>COUNTIF($L$3:$L$26,AA12)</f>
        <v>0</v>
      </c>
      <c r="AD12" s="76">
        <f>COUNTIF($M$3:$M$26,AA12)</f>
        <v>0</v>
      </c>
      <c r="AE12" s="76">
        <f>AB12-AC12-AD12</f>
        <v>0</v>
      </c>
      <c r="AF12" s="76">
        <f>SUM(B2_Pld)</f>
        <v>0</v>
      </c>
      <c r="AG12" s="76">
        <f>SUM(B2_against)</f>
        <v>0</v>
      </c>
      <c r="AH12" s="76">
        <f>AF12-AG12</f>
        <v>0</v>
      </c>
      <c r="AI12" s="76">
        <f>AC12*3+AE12*1</f>
        <v>0</v>
      </c>
      <c r="AK12" s="50" t="str">
        <f>IF(AA12=AK$11,AA$11,AA12)</f>
        <v>Англия</v>
      </c>
      <c r="AL12" s="50">
        <f>VLOOKUP(AK12,$AA$5:$AI$26,9,FALSE)</f>
        <v>0</v>
      </c>
      <c r="AM12" s="50" t="str">
        <f>IF(AL12&gt;=AL13,IF(AL12&gt;=AL14,AK12,AK14),IF(AL13&gt;=AL14,AK13,AK14))</f>
        <v>Англия</v>
      </c>
      <c r="AN12" s="50">
        <f aca="true" t="shared" si="3" ref="AN12:AP14">VLOOKUP(AM12,$AA$5:$AI$26,9,FALSE)</f>
        <v>0</v>
      </c>
      <c r="AO12" s="50" t="str">
        <f>IF(AN12&gt;=AN13,IF(AN12&gt;=AN14,AM12,AM14),IF(AN13&gt;=AN14,AM13,AM14))</f>
        <v>Англия</v>
      </c>
      <c r="AP12" s="50">
        <f t="shared" si="3"/>
        <v>0</v>
      </c>
      <c r="AQ12" s="50">
        <f t="shared" si="2"/>
        <v>0</v>
      </c>
      <c r="AS12" s="50" t="str">
        <f>IF(AO12=$AS$11,$AO$11,AO12)</f>
        <v>Англия</v>
      </c>
      <c r="AT12" s="50">
        <f>VLOOKUP(AS12,$AA$5:$AI$26,9,FALSE)</f>
        <v>0</v>
      </c>
      <c r="AU12" s="50">
        <f>VLOOKUP(AS12,$AA$5:$AI$26,8,FALSE)</f>
        <v>0</v>
      </c>
      <c r="AV12" s="50" t="str">
        <f>IF(AU12&gt;=AU13,IF(AU12&gt;=AU14,AS12,AS14),IF(AU13&gt;=AU14,AS13,AS14))</f>
        <v>Англия</v>
      </c>
      <c r="AW12" s="50">
        <f>VLOOKUP(AV12,$AA$5:$AI$26,9,FALSE)</f>
        <v>0</v>
      </c>
      <c r="AX12" s="50">
        <f>VLOOKUP(AV12,$AA$5:$AI$26,8,FALSE)</f>
        <v>0</v>
      </c>
      <c r="AY12" s="50" t="str">
        <f>AV12</f>
        <v>Англия</v>
      </c>
      <c r="AZ12" s="50">
        <f>VLOOKUP(AY12,$AA$5:$AI$26,9,FALSE)</f>
        <v>0</v>
      </c>
      <c r="BA12" s="50">
        <f>VLOOKUP(AY12,$AA$5:$AI$26,8,FALSE)</f>
        <v>0</v>
      </c>
      <c r="BB12" s="50">
        <v>2</v>
      </c>
      <c r="BC12" s="50">
        <f>VLOOKUP(AY12,$AA$5:$AI$26,6,FALSE)</f>
        <v>0</v>
      </c>
      <c r="BE12" s="50" t="str">
        <f>IF(AY12=BE$11,AY$11,AY12)</f>
        <v>Англия</v>
      </c>
      <c r="BF12" s="50">
        <f>VLOOKUP(BE12,$AA$5:$AI$26,9,FALSE)</f>
        <v>0</v>
      </c>
      <c r="BG12" s="50">
        <f>VLOOKUP(BE12,$AA$5:$AI$26,6,FALSE)</f>
        <v>0</v>
      </c>
      <c r="BH12" s="50" t="str">
        <f>IF(BG12&gt;=BG13,IF(BG12&gt;=BG14,BE12,BE14),IF(BG13&gt;=BG14,BE13,BE14))</f>
        <v>Англия</v>
      </c>
      <c r="BI12" s="50">
        <f>VLOOKUP(BH12,$AA$5:$AI$26,9,FALSE)</f>
        <v>0</v>
      </c>
      <c r="BJ12" s="50">
        <f>VLOOKUP(BH12,$AA$5:$AI$26,6,FALSE)</f>
        <v>0</v>
      </c>
      <c r="BK12" s="50" t="str">
        <f>BH12</f>
        <v>Англия</v>
      </c>
      <c r="BL12" s="50">
        <f>VLOOKUP(BK12,$AA$5:$AI$26,9,FALSE)</f>
        <v>0</v>
      </c>
      <c r="BM12" s="50">
        <f>VLOOKUP(BK12,$AA$5:$AI$26,6,FALSE)</f>
        <v>0</v>
      </c>
      <c r="BN12" s="50">
        <v>2</v>
      </c>
      <c r="BP12" s="50" t="str">
        <f>IF(AO12=BP$11,AO$11,AO12)</f>
        <v>Англия</v>
      </c>
      <c r="BQ12" s="50">
        <f>VLOOKUP(BP12,$AA$5:$AI$26,9,FALSE)</f>
        <v>0</v>
      </c>
      <c r="BR12" s="50">
        <f>VLOOKUP(BP12,$AA$5:$AI$26,8,FALSE)</f>
        <v>0</v>
      </c>
      <c r="BS12" s="50" t="str">
        <f>IF(BQ12=BQ13,IF(BQ12=BQ14,IF(BR12&gt;=BR13,IF(BR12&gt;=BR14,BP12,BP14),IF(BR13&gt;=BR14,BP13,BP14)),IF(BR12&gt;=BR13,BP12,BP13)),BP12)</f>
        <v>Англия</v>
      </c>
      <c r="BT12" s="50">
        <f>VLOOKUP(BS12,$AA$5:$AI$26,9,FALSE)</f>
        <v>0</v>
      </c>
      <c r="BU12" s="50">
        <f>VLOOKUP(BS12,$AA$5:$AI$26,8,FALSE)</f>
        <v>0</v>
      </c>
      <c r="BV12" s="50" t="str">
        <f>BS12</f>
        <v>Англия</v>
      </c>
      <c r="BW12" s="50">
        <f>VLOOKUP(BV12,$AA$5:$AI$26,9,FALSE)</f>
        <v>0</v>
      </c>
      <c r="BX12" s="50">
        <f>VLOOKUP(BV12,$AA$5:$AI$26,8,FALSE)</f>
        <v>0</v>
      </c>
      <c r="BY12" s="50">
        <f>VLOOKUP(BV12,$AA$5:$AI$26,6,FALSE)</f>
        <v>0</v>
      </c>
      <c r="CA12" s="50" t="str">
        <f>IF(BV12=CA$11,BV$11,BV12)</f>
        <v>Англия</v>
      </c>
      <c r="CB12" s="50">
        <f>VLOOKUP(CA12,$AA$5:$AI$26,9,FALSE)</f>
        <v>0</v>
      </c>
      <c r="CC12" s="50">
        <f>VLOOKUP(CA12,$AA$5:$AI$26,8,FALSE)</f>
        <v>0</v>
      </c>
      <c r="CD12" s="50">
        <f>VLOOKUP(CA12,$AA$5:$AI$26,6,FALSE)</f>
        <v>0</v>
      </c>
      <c r="CE12" s="50" t="str">
        <f>IF(AND(CB12=CB13,CC12=CC13),IF(AND(CB12=CB14,CC12=CC14),IF(CD12&gt;=CD13,IF(CD12&gt;=CD14,CA12,CA14),IF(CD13&gt;=CD14,CA13,CA14)),IF(CD12&gt;=CD13,CA12,CA13)),CA12)</f>
        <v>Англия</v>
      </c>
      <c r="CF12" s="50">
        <f>VLOOKUP(CE12,$AA$5:$AI$26,9,FALSE)</f>
        <v>0</v>
      </c>
      <c r="CG12" s="50">
        <f>VLOOKUP(CE12,$AA$5:$AI$26,8,FALSE)</f>
        <v>0</v>
      </c>
      <c r="CH12" s="50">
        <f>VLOOKUP(CE12,$AA$5:$AI$26,6,FALSE)</f>
        <v>0</v>
      </c>
      <c r="CI12" s="68" t="str">
        <f>CE12</f>
        <v>Англия</v>
      </c>
      <c r="CJ12" s="68">
        <f>VLOOKUP(CI12,$AA$5:$AI$26,9,FALSE)</f>
        <v>0</v>
      </c>
      <c r="CK12" s="68">
        <f>VLOOKUP(CI12,$AA$5:$AI$26,8,FALSE)</f>
        <v>0</v>
      </c>
      <c r="CL12" s="68">
        <f>VLOOKUP(CI12,$AA$5:$AI$26,6,FALSE)</f>
        <v>0</v>
      </c>
      <c r="CN12" s="50" t="str">
        <f>CI12</f>
        <v>Англия</v>
      </c>
      <c r="CO12" s="50" t="str">
        <f>General_MA!CP12</f>
        <v>Англия</v>
      </c>
      <c r="CP12" s="50" t="str">
        <f>General_MA!CP12</f>
        <v>Англия</v>
      </c>
      <c r="CQ12" s="50" t="str">
        <f>CI12</f>
        <v>Англия</v>
      </c>
      <c r="CR12" s="50" t="str">
        <f>General_MA!CP11</f>
        <v>Франция</v>
      </c>
      <c r="CS12" s="50" t="str">
        <f>General_MA!CP11</f>
        <v>Франция</v>
      </c>
      <c r="CU12" s="50" t="str">
        <f>IF(OR(AP12=AP13,AP12=AP11),"X","")</f>
        <v>X</v>
      </c>
      <c r="CV12" s="50" t="str">
        <f>IF(CU12="x",IF(AP12=AP13,"y",""),"")</f>
        <v>y</v>
      </c>
      <c r="CX12" s="50" t="str">
        <f>IF(CU12="x",AO12,"")</f>
        <v>Англия</v>
      </c>
      <c r="DB12" s="50">
        <f>IF(CX12="",CI12,"")</f>
      </c>
    </row>
    <row r="13" spans="2:106" ht="11.25">
      <c r="B13" s="59" t="s">
        <v>12</v>
      </c>
      <c r="C13" s="60">
        <v>0.7083333333333333</v>
      </c>
      <c r="D13" s="59" t="s">
        <v>126</v>
      </c>
      <c r="E13" s="61" t="s">
        <v>37</v>
      </c>
      <c r="F13" s="45" t="s">
        <v>38</v>
      </c>
      <c r="G13" s="45" t="s">
        <v>47</v>
      </c>
      <c r="H13" s="46" t="str">
        <f>VLOOKUP(F13,Teams!$A$2:$B$17,2,FALSE)</f>
        <v>Англия</v>
      </c>
      <c r="I13" s="46" t="str">
        <f>VLOOKUP(G13,Teams!$A$2:$B$17,2,FALSE)</f>
        <v>Швейцария</v>
      </c>
      <c r="J13" s="33"/>
      <c r="K13" s="33"/>
      <c r="L13" s="50">
        <f t="shared" si="0"/>
      </c>
      <c r="M13" s="50">
        <f t="shared" si="1"/>
      </c>
      <c r="O13" s="41" t="str">
        <f>HLOOKUP("YES",$CN$10:$CS$14,4,FALSE)</f>
        <v>Швейцария</v>
      </c>
      <c r="P13" s="42">
        <f>VLOOKUP($O13,$AA$5:$AI$26,2,FALSE)</f>
        <v>0</v>
      </c>
      <c r="Q13" s="42">
        <f>VLOOKUP($O13,$AA$5:$AI$26,3,FALSE)</f>
        <v>0</v>
      </c>
      <c r="R13" s="42">
        <f>VLOOKUP($O13,$AA$5:$AI$26,4,FALSE)</f>
        <v>0</v>
      </c>
      <c r="S13" s="42">
        <f>VLOOKUP($O13,$AA$5:$AI$26,5,FALSE)</f>
        <v>0</v>
      </c>
      <c r="T13" s="42">
        <f>VLOOKUP($O13,$AA$5:$AI$26,6,FALSE)</f>
        <v>0</v>
      </c>
      <c r="U13" s="42">
        <f>VLOOKUP($O13,$AA$5:$AI$26,7,FALSE)</f>
        <v>0</v>
      </c>
      <c r="V13" s="42">
        <f>VLOOKUP($O13,$AA$5:$AI$26,8,FALSE)</f>
        <v>0</v>
      </c>
      <c r="W13" s="79">
        <f>VLOOKUP($O13,$AA$5:$AI$26,9,FALSE)</f>
        <v>0</v>
      </c>
      <c r="Z13" s="75" t="str">
        <f>Teams!A8</f>
        <v>B3</v>
      </c>
      <c r="AA13" s="75" t="str">
        <f>Teams!B8</f>
        <v>Швейцария</v>
      </c>
      <c r="AB13" s="50">
        <f>MAX(COUNT(B3_Pld),COUNT(B3_against))</f>
        <v>0</v>
      </c>
      <c r="AC13" s="76">
        <f>COUNTIF($L$3:$L$26,AA13)</f>
        <v>0</v>
      </c>
      <c r="AD13" s="76">
        <f>COUNTIF($M$3:$M$26,AA13)</f>
        <v>0</v>
      </c>
      <c r="AE13" s="76">
        <f>AB13-AC13-AD13</f>
        <v>0</v>
      </c>
      <c r="AF13" s="76">
        <f>SUM(B3_Pld)</f>
        <v>0</v>
      </c>
      <c r="AG13" s="76">
        <f>SUM(B3_against)</f>
        <v>0</v>
      </c>
      <c r="AH13" s="76">
        <f>AF13-AG13</f>
        <v>0</v>
      </c>
      <c r="AI13" s="76">
        <f>AC13*3+AE13*1</f>
        <v>0</v>
      </c>
      <c r="AK13" s="50" t="str">
        <f>IF(AA13=AK$11,AA$11,AA13)</f>
        <v>Швейцария</v>
      </c>
      <c r="AL13" s="50">
        <f>VLOOKUP(AK13,$AA$5:$AI$26,9,FALSE)</f>
        <v>0</v>
      </c>
      <c r="AM13" s="50" t="str">
        <f>IF(AK13=AM$12,AK$12,AK13)</f>
        <v>Швейцария</v>
      </c>
      <c r="AN13" s="50">
        <f t="shared" si="3"/>
        <v>0</v>
      </c>
      <c r="AO13" s="50" t="str">
        <f>IF(AN13&gt;=AN14,AM13,AM14)</f>
        <v>Швейцария</v>
      </c>
      <c r="AP13" s="50">
        <f t="shared" si="3"/>
        <v>0</v>
      </c>
      <c r="AQ13" s="50">
        <f t="shared" si="2"/>
        <v>0</v>
      </c>
      <c r="AS13" s="50" t="str">
        <f>IF(AO13=$AS$11,$AO$11,AO13)</f>
        <v>Швейцария</v>
      </c>
      <c r="AT13" s="50">
        <f>VLOOKUP(AS13,$AA$5:$AI$26,9,FALSE)</f>
        <v>0</v>
      </c>
      <c r="AU13" s="50">
        <f>VLOOKUP(AS13,$AA$5:$AI$26,8,FALSE)</f>
        <v>0</v>
      </c>
      <c r="AV13" s="50" t="str">
        <f>IF(AS13=AV$12,AS$12,AS13)</f>
        <v>Швейцария</v>
      </c>
      <c r="AW13" s="50">
        <f>VLOOKUP(AV13,$AA$5:$AI$26,9,FALSE)</f>
        <v>0</v>
      </c>
      <c r="AX13" s="50">
        <f>VLOOKUP(AV13,$AA$5:$AI$26,8,FALSE)</f>
        <v>0</v>
      </c>
      <c r="AY13" s="50" t="str">
        <f>IF(AX13&gt;=AX14,AV13,AV14)</f>
        <v>Швейцария</v>
      </c>
      <c r="AZ13" s="50">
        <f>VLOOKUP(AY13,$AA$5:$AI$26,9,FALSE)</f>
        <v>0</v>
      </c>
      <c r="BA13" s="50">
        <f>VLOOKUP(AY13,$AA$5:$AI$26,8,FALSE)</f>
        <v>0</v>
      </c>
      <c r="BB13" s="50">
        <v>3</v>
      </c>
      <c r="BC13" s="50">
        <f>VLOOKUP(AY13,$AA$5:$AI$26,6,FALSE)</f>
        <v>0</v>
      </c>
      <c r="BE13" s="50" t="str">
        <f>IF(AY13=BE$11,AY$11,AY13)</f>
        <v>Швейцария</v>
      </c>
      <c r="BF13" s="50">
        <f>VLOOKUP(BE13,$AA$5:$AI$26,9,FALSE)</f>
        <v>0</v>
      </c>
      <c r="BG13" s="50">
        <f>VLOOKUP(BE13,$AA$5:$AI$26,6,FALSE)</f>
        <v>0</v>
      </c>
      <c r="BH13" s="50" t="str">
        <f>IF(BE13=BH$12,BE$12,BE13)</f>
        <v>Швейцария</v>
      </c>
      <c r="BI13" s="50">
        <f>VLOOKUP(BH13,$AA$5:$AI$26,9,FALSE)</f>
        <v>0</v>
      </c>
      <c r="BJ13" s="50">
        <f>VLOOKUP(BH13,$AA$5:$AI$26,6,FALSE)</f>
        <v>0</v>
      </c>
      <c r="BK13" s="50" t="str">
        <f>IF(BJ13&gt;=BJ14,BH13,BH14)</f>
        <v>Швейцария</v>
      </c>
      <c r="BL13" s="50">
        <f>VLOOKUP(BK13,$AA$5:$AI$26,9,FALSE)</f>
        <v>0</v>
      </c>
      <c r="BM13" s="50">
        <f>VLOOKUP(BK13,$AA$5:$AI$26,6,FALSE)</f>
        <v>0</v>
      </c>
      <c r="BN13" s="50">
        <v>3</v>
      </c>
      <c r="BP13" s="50" t="str">
        <f>IF(AO13=BP$11,AO$11,AO13)</f>
        <v>Швейцария</v>
      </c>
      <c r="BQ13" s="50">
        <f>VLOOKUP(BP13,$AA$5:$AI$26,9,FALSE)</f>
        <v>0</v>
      </c>
      <c r="BR13" s="50">
        <f>VLOOKUP(BP13,$AA$5:$AI$26,8,FALSE)</f>
        <v>0</v>
      </c>
      <c r="BS13" s="50" t="str">
        <f>IF(BP13=BS$12,BP$12,BP13)</f>
        <v>Швейцария</v>
      </c>
      <c r="BT13" s="50">
        <f>VLOOKUP(BS13,$AA$5:$AI$26,9,FALSE)</f>
        <v>0</v>
      </c>
      <c r="BU13" s="50">
        <f>VLOOKUP(BS13,$AA$5:$AI$26,8,FALSE)</f>
        <v>0</v>
      </c>
      <c r="BV13" s="50" t="str">
        <f>IF(BT13=BT14,IF(BU13&gt;=BU14,BS13,BS14),BS13)</f>
        <v>Швейцария</v>
      </c>
      <c r="BW13" s="50">
        <f>VLOOKUP(BV13,$AA$5:$AI$26,9,FALSE)</f>
        <v>0</v>
      </c>
      <c r="BX13" s="50">
        <f>VLOOKUP(BV13,$AA$5:$AI$26,8,FALSE)</f>
        <v>0</v>
      </c>
      <c r="BY13" s="50">
        <f>VLOOKUP(BV13,$AA$5:$AI$26,6,FALSE)</f>
        <v>0</v>
      </c>
      <c r="CA13" s="50" t="str">
        <f>IF(BV13=CA$11,BV$11,BV13)</f>
        <v>Швейцария</v>
      </c>
      <c r="CB13" s="50">
        <f>VLOOKUP(CA13,$AA$5:$AI$26,9,FALSE)</f>
        <v>0</v>
      </c>
      <c r="CC13" s="50">
        <f>VLOOKUP(CA13,$AA$5:$AI$26,8,FALSE)</f>
        <v>0</v>
      </c>
      <c r="CD13" s="50">
        <f>VLOOKUP(CA13,$AA$5:$AI$26,6,FALSE)</f>
        <v>0</v>
      </c>
      <c r="CE13" s="50" t="str">
        <f>IF(CA13=CE$12,CA$12,CA13)</f>
        <v>Швейцария</v>
      </c>
      <c r="CF13" s="50">
        <f>VLOOKUP(CE13,$AA$5:$AI$26,9,FALSE)</f>
        <v>0</v>
      </c>
      <c r="CG13" s="50">
        <f>VLOOKUP(CE13,$AA$5:$AI$26,8,FALSE)</f>
        <v>0</v>
      </c>
      <c r="CH13" s="50">
        <f>VLOOKUP(CE13,$AA$5:$AI$26,6,FALSE)</f>
        <v>0</v>
      </c>
      <c r="CI13" s="68" t="str">
        <f>IF(AND(CF13=CF14,CG13=CG14),IF(CH13&gt;=CH14,CE13,CE14),CE13)</f>
        <v>Швейцария</v>
      </c>
      <c r="CJ13" s="68">
        <f>VLOOKUP(CI13,$AA$5:$AI$26,9,FALSE)</f>
        <v>0</v>
      </c>
      <c r="CK13" s="68">
        <f>VLOOKUP(CI13,$AA$5:$AI$26,8,FALSE)</f>
        <v>0</v>
      </c>
      <c r="CL13" s="68">
        <f>VLOOKUP(CI13,$AA$5:$AI$26,6,FALSE)</f>
        <v>0</v>
      </c>
      <c r="CN13" s="50" t="str">
        <f>CI13</f>
        <v>Швейцария</v>
      </c>
      <c r="CO13" s="50" t="str">
        <f>CI13</f>
        <v>Швейцария</v>
      </c>
      <c r="CP13" s="50" t="str">
        <f>General_MA!CP13</f>
        <v>Швейцария</v>
      </c>
      <c r="CQ13" s="50" t="str">
        <f>CI13</f>
        <v>Швейцария</v>
      </c>
      <c r="CR13" s="50" t="str">
        <f>General_MA!CP12</f>
        <v>Англия</v>
      </c>
      <c r="CS13" s="50" t="str">
        <f>General_MA!CP12</f>
        <v>Англия</v>
      </c>
      <c r="CU13" s="50" t="str">
        <f>IF(OR(AP13=AP14,AP13=AP12),"X","")</f>
        <v>X</v>
      </c>
      <c r="CV13" s="50" t="str">
        <f>IF(CU13="x",IF(AP13=AP14,"y",""),"")</f>
        <v>y</v>
      </c>
      <c r="CX13" s="50" t="str">
        <f>IF(CU13="x",AO13,"")</f>
        <v>Швейцария</v>
      </c>
      <c r="DB13" s="50">
        <f>IF(AND(CU$15=4,CV$15=2),CX13,IF(CX13="",CI13,""))</f>
      </c>
    </row>
    <row r="14" spans="2:106" ht="11.25">
      <c r="B14" s="59" t="s">
        <v>12</v>
      </c>
      <c r="C14" s="60">
        <v>0.8229166666666666</v>
      </c>
      <c r="D14" s="59" t="s">
        <v>4</v>
      </c>
      <c r="E14" s="61" t="s">
        <v>37</v>
      </c>
      <c r="F14" s="45" t="s">
        <v>36</v>
      </c>
      <c r="G14" s="45" t="s">
        <v>48</v>
      </c>
      <c r="H14" s="46" t="str">
        <f>VLOOKUP(F14,Teams!$A$2:$B$17,2,FALSE)</f>
        <v>Хорватия</v>
      </c>
      <c r="I14" s="46" t="str">
        <f>VLOOKUP(G14,Teams!$A$2:$B$17,2,FALSE)</f>
        <v>Франция</v>
      </c>
      <c r="J14" s="33"/>
      <c r="K14" s="33"/>
      <c r="L14" s="50">
        <f t="shared" si="0"/>
      </c>
      <c r="M14" s="50">
        <f t="shared" si="1"/>
      </c>
      <c r="O14" s="43" t="str">
        <f>HLOOKUP("YES",$CN$10:$CS$14,5,FALSE)</f>
        <v>Хорватия</v>
      </c>
      <c r="P14" s="44">
        <f>VLOOKUP($O14,$AA$5:$AI$26,2,FALSE)</f>
        <v>0</v>
      </c>
      <c r="Q14" s="44">
        <f>VLOOKUP($O14,$AA$5:$AI$26,3,FALSE)</f>
        <v>0</v>
      </c>
      <c r="R14" s="44">
        <f>VLOOKUP($O14,$AA$5:$AI$26,4,FALSE)</f>
        <v>0</v>
      </c>
      <c r="S14" s="44">
        <f>VLOOKUP($O14,$AA$5:$AI$26,5,FALSE)</f>
        <v>0</v>
      </c>
      <c r="T14" s="44">
        <f>VLOOKUP($O14,$AA$5:$AI$26,6,FALSE)</f>
        <v>0</v>
      </c>
      <c r="U14" s="44">
        <f>VLOOKUP($O14,$AA$5:$AI$26,7,FALSE)</f>
        <v>0</v>
      </c>
      <c r="V14" s="44">
        <f>VLOOKUP($O14,$AA$5:$AI$26,8,FALSE)</f>
        <v>0</v>
      </c>
      <c r="W14" s="80">
        <f>VLOOKUP($O14,$AA$5:$AI$26,9,FALSE)</f>
        <v>0</v>
      </c>
      <c r="Z14" s="75" t="str">
        <f>Teams!A9</f>
        <v>B4</v>
      </c>
      <c r="AA14" s="75" t="str">
        <f>Teams!B9</f>
        <v>Хорватия</v>
      </c>
      <c r="AB14" s="50">
        <f>MAX(COUNT(B4_Pld),COUNT(B4_against))</f>
        <v>0</v>
      </c>
      <c r="AC14" s="76">
        <f>COUNTIF($L$3:$L$26,AA14)</f>
        <v>0</v>
      </c>
      <c r="AD14" s="76">
        <f>COUNTIF($M$3:$M$26,AA14)</f>
        <v>0</v>
      </c>
      <c r="AE14" s="76">
        <f>AB14-AC14-AD14</f>
        <v>0</v>
      </c>
      <c r="AF14" s="76">
        <f>SUM(B4_Pld)</f>
        <v>0</v>
      </c>
      <c r="AG14" s="76">
        <f>SUM(B4_against)</f>
        <v>0</v>
      </c>
      <c r="AH14" s="76">
        <f>AF14-AG14</f>
        <v>0</v>
      </c>
      <c r="AI14" s="76">
        <f>AC14*3+AE14*1</f>
        <v>0</v>
      </c>
      <c r="AK14" s="50" t="str">
        <f>IF(AA14=AK$11,AA$11,AA14)</f>
        <v>Хорватия</v>
      </c>
      <c r="AL14" s="50">
        <f>VLOOKUP(AK14,$AA$5:$AI$26,9,FALSE)</f>
        <v>0</v>
      </c>
      <c r="AM14" s="50" t="str">
        <f>IF(AK14=AM$12,AK$12,AK14)</f>
        <v>Хорватия</v>
      </c>
      <c r="AN14" s="50">
        <f t="shared" si="3"/>
        <v>0</v>
      </c>
      <c r="AO14" s="50" t="str">
        <f>IF(AM14=AO13,AM13,AM14)</f>
        <v>Хорватия</v>
      </c>
      <c r="AP14" s="50">
        <f t="shared" si="3"/>
        <v>0</v>
      </c>
      <c r="AQ14" s="50">
        <f t="shared" si="2"/>
        <v>0</v>
      </c>
      <c r="AS14" s="50" t="str">
        <f>IF(AO14=$AS$11,$AO$11,AO14)</f>
        <v>Хорватия</v>
      </c>
      <c r="AT14" s="50">
        <f>VLOOKUP(AS14,$AA$5:$AI$26,9,FALSE)</f>
        <v>0</v>
      </c>
      <c r="AU14" s="50">
        <f>VLOOKUP(AS14,$AA$5:$AI$26,8,FALSE)</f>
        <v>0</v>
      </c>
      <c r="AV14" s="50" t="str">
        <f>IF(AS14=AV$12,AS$12,AS14)</f>
        <v>Хорватия</v>
      </c>
      <c r="AW14" s="50">
        <f>VLOOKUP(AV14,$AA$5:$AI$26,9,FALSE)</f>
        <v>0</v>
      </c>
      <c r="AX14" s="50">
        <f>VLOOKUP(AV14,$AA$5:$AI$26,8,FALSE)</f>
        <v>0</v>
      </c>
      <c r="AY14" s="50" t="str">
        <f>IF(AV14=AY13,AV13,AV14)</f>
        <v>Хорватия</v>
      </c>
      <c r="AZ14" s="50">
        <f>VLOOKUP(AY14,$AA$5:$AI$26,9,FALSE)</f>
        <v>0</v>
      </c>
      <c r="BA14" s="50">
        <f>VLOOKUP(AY14,$AA$5:$AI$26,8,FALSE)</f>
        <v>0</v>
      </c>
      <c r="BB14" s="50">
        <v>4</v>
      </c>
      <c r="BC14" s="50">
        <f>VLOOKUP(AY14,$AA$5:$AI$26,6,FALSE)</f>
        <v>0</v>
      </c>
      <c r="BE14" s="50" t="str">
        <f>IF(AY14=BE$11,AY$11,AY14)</f>
        <v>Хорватия</v>
      </c>
      <c r="BF14" s="50">
        <f>VLOOKUP(BE14,$AA$5:$AI$26,9,FALSE)</f>
        <v>0</v>
      </c>
      <c r="BG14" s="50">
        <f>VLOOKUP(BE14,$AA$5:$AI$26,6,FALSE)</f>
        <v>0</v>
      </c>
      <c r="BH14" s="50" t="str">
        <f>IF(BE14=BH$12,BE$12,BE14)</f>
        <v>Хорватия</v>
      </c>
      <c r="BI14" s="50">
        <f>VLOOKUP(BH14,$AA$5:$AI$26,9,FALSE)</f>
        <v>0</v>
      </c>
      <c r="BJ14" s="50">
        <f>VLOOKUP(BH14,$AA$5:$AI$26,6,FALSE)</f>
        <v>0</v>
      </c>
      <c r="BK14" s="50" t="str">
        <f>IF(BH14=BK13,BH13,BH14)</f>
        <v>Хорватия</v>
      </c>
      <c r="BL14" s="50">
        <f>VLOOKUP(BK14,$AA$5:$AI$26,9,FALSE)</f>
        <v>0</v>
      </c>
      <c r="BM14" s="50">
        <f>VLOOKUP(BK14,$AA$5:$AI$26,6,FALSE)</f>
        <v>0</v>
      </c>
      <c r="BN14" s="50">
        <v>4</v>
      </c>
      <c r="BP14" s="50" t="str">
        <f>IF(AO14=BP$11,AO$11,AO14)</f>
        <v>Хорватия</v>
      </c>
      <c r="BQ14" s="50">
        <f>VLOOKUP(BP14,$AA$5:$AI$26,9,FALSE)</f>
        <v>0</v>
      </c>
      <c r="BR14" s="50">
        <f>VLOOKUP(BP14,$AA$5:$AI$26,8,FALSE)</f>
        <v>0</v>
      </c>
      <c r="BS14" s="50" t="str">
        <f>IF(BP14=BS$12,BP$12,BP14)</f>
        <v>Хорватия</v>
      </c>
      <c r="BT14" s="50">
        <f>VLOOKUP(BS14,$AA$5:$AI$26,9,FALSE)</f>
        <v>0</v>
      </c>
      <c r="BU14" s="50">
        <f>VLOOKUP(BS14,$AA$5:$AI$26,8,FALSE)</f>
        <v>0</v>
      </c>
      <c r="BV14" s="50" t="str">
        <f>IF(BS14=BV13,BS13,BS14)</f>
        <v>Хорватия</v>
      </c>
      <c r="BW14" s="50">
        <f>VLOOKUP(BV14,$AA$5:$AI$26,9,FALSE)</f>
        <v>0</v>
      </c>
      <c r="BX14" s="50">
        <f>VLOOKUP(BV14,$AA$5:$AI$26,8,FALSE)</f>
        <v>0</v>
      </c>
      <c r="BY14" s="50">
        <f>VLOOKUP(BV14,$AA$5:$AI$26,6,FALSE)</f>
        <v>0</v>
      </c>
      <c r="CA14" s="50" t="str">
        <f>IF(BV14=CA$11,BV$11,BV14)</f>
        <v>Хорватия</v>
      </c>
      <c r="CB14" s="50">
        <f>VLOOKUP(CA14,$AA$5:$AI$26,9,FALSE)</f>
        <v>0</v>
      </c>
      <c r="CC14" s="50">
        <f>VLOOKUP(CA14,$AA$5:$AI$26,8,FALSE)</f>
        <v>0</v>
      </c>
      <c r="CD14" s="50">
        <f>VLOOKUP(CA14,$AA$5:$AI$26,6,FALSE)</f>
        <v>0</v>
      </c>
      <c r="CE14" s="50" t="str">
        <f>IF(CA14=CE$12,CA$12,CA14)</f>
        <v>Хорватия</v>
      </c>
      <c r="CF14" s="50">
        <f>VLOOKUP(CE14,$AA$5:$AI$26,9,FALSE)</f>
        <v>0</v>
      </c>
      <c r="CG14" s="50">
        <f>VLOOKUP(CE14,$AA$5:$AI$26,8,FALSE)</f>
        <v>0</v>
      </c>
      <c r="CH14" s="50">
        <f>VLOOKUP(CE14,$AA$5:$AI$26,6,FALSE)</f>
        <v>0</v>
      </c>
      <c r="CI14" s="68" t="str">
        <f>IF(CE14=CI13,CE13,CE14)</f>
        <v>Хорватия</v>
      </c>
      <c r="CJ14" s="68">
        <f>VLOOKUP(CI14,$AA$5:$AI$26,9,FALSE)</f>
        <v>0</v>
      </c>
      <c r="CK14" s="68">
        <f>VLOOKUP(CI14,$AA$5:$AI$26,8,FALSE)</f>
        <v>0</v>
      </c>
      <c r="CL14" s="68">
        <f>VLOOKUP(CI14,$AA$5:$AI$26,6,FALSE)</f>
        <v>0</v>
      </c>
      <c r="CN14" s="50" t="str">
        <f>CI14</f>
        <v>Хорватия</v>
      </c>
      <c r="CO14" s="50" t="str">
        <f>CI14</f>
        <v>Хорватия</v>
      </c>
      <c r="CP14" s="50" t="str">
        <f>CI14</f>
        <v>Хорватия</v>
      </c>
      <c r="CQ14" s="50" t="str">
        <f>CI14</f>
        <v>Хорватия</v>
      </c>
      <c r="CR14" s="50" t="str">
        <f>CQ14</f>
        <v>Хорватия</v>
      </c>
      <c r="CS14" s="50" t="str">
        <f>General_MA!CP13</f>
        <v>Швейцария</v>
      </c>
      <c r="CU14" s="50" t="str">
        <f>IF(OR(AP14=AP15,AP14=AP13),"X","")</f>
        <v>X</v>
      </c>
      <c r="CV14" s="50">
        <f>IF(CU14="x",IF(AP14=AP15,"y",""),"")</f>
      </c>
      <c r="CX14" s="50" t="str">
        <f>IF(CU14="x",AO14,"")</f>
        <v>Хорватия</v>
      </c>
      <c r="DB14" s="50">
        <f>IF(AND(CU$15=4,CV$15=2),CX14,IF(CX14="",CI14,""))</f>
      </c>
    </row>
    <row r="15" spans="2:105" ht="11.25">
      <c r="B15" s="59" t="s">
        <v>13</v>
      </c>
      <c r="C15" s="60">
        <v>0.7083333333333333</v>
      </c>
      <c r="D15" s="59" t="s">
        <v>14</v>
      </c>
      <c r="E15" s="61" t="s">
        <v>40</v>
      </c>
      <c r="F15" s="45" t="s">
        <v>41</v>
      </c>
      <c r="G15" s="45" t="s">
        <v>49</v>
      </c>
      <c r="H15" s="46" t="str">
        <f>VLOOKUP(F15,Teams!$A$2:$B$17,2,FALSE)</f>
        <v>Болгария</v>
      </c>
      <c r="I15" s="46" t="str">
        <f>VLOOKUP(G15,Teams!$A$2:$B$17,2,FALSE)</f>
        <v>Дания</v>
      </c>
      <c r="J15" s="33"/>
      <c r="K15" s="33"/>
      <c r="L15" s="50">
        <f t="shared" si="0"/>
      </c>
      <c r="M15" s="50">
        <f t="shared" si="1"/>
      </c>
      <c r="O15" s="38" t="s">
        <v>147</v>
      </c>
      <c r="P15" s="39"/>
      <c r="Q15" s="39"/>
      <c r="R15" s="39"/>
      <c r="S15" s="39"/>
      <c r="T15" s="39"/>
      <c r="U15" s="39"/>
      <c r="V15" s="39"/>
      <c r="W15" s="78"/>
      <c r="AA15" s="65" t="s">
        <v>106</v>
      </c>
      <c r="AB15" s="66"/>
      <c r="AC15" s="66"/>
      <c r="AD15" s="66"/>
      <c r="AE15" s="66"/>
      <c r="AF15" s="66"/>
      <c r="AG15" s="66"/>
      <c r="AH15" s="66"/>
      <c r="AI15" s="66"/>
      <c r="AP15" s="50" t="s">
        <v>75</v>
      </c>
      <c r="CI15" s="68"/>
      <c r="CJ15" s="68"/>
      <c r="CK15" s="68"/>
      <c r="CL15" s="68"/>
      <c r="CU15" s="50">
        <f>COUNTIF(CU11:CU14,"X")</f>
        <v>4</v>
      </c>
      <c r="CV15" s="50">
        <f>COUNTIF(CV11:CV14,"y")</f>
        <v>3</v>
      </c>
      <c r="CX15" s="50">
        <f>COUNTIF(CU11:CU14,"X")</f>
        <v>4</v>
      </c>
      <c r="CY15" s="50" t="b">
        <f>OR(CU15=2,AND(CU15=4,CV15&lt;3))</f>
        <v>0</v>
      </c>
      <c r="CZ15" s="50" t="str">
        <f>IF(CJ12=CJ13,"NO","YES")</f>
        <v>NO</v>
      </c>
      <c r="DA15" s="50">
        <f>IF(AND(CY15=TRUE,CZ15="YES"),2,4-COUNTIF(CX11:CX14,""))</f>
        <v>4</v>
      </c>
    </row>
    <row r="16" spans="2:97" ht="11.25">
      <c r="B16" s="59" t="s">
        <v>13</v>
      </c>
      <c r="C16" s="60">
        <v>0.8229166666666666</v>
      </c>
      <c r="D16" s="59" t="s">
        <v>1</v>
      </c>
      <c r="E16" s="61" t="s">
        <v>40</v>
      </c>
      <c r="F16" s="45" t="s">
        <v>39</v>
      </c>
      <c r="G16" s="45" t="s">
        <v>50</v>
      </c>
      <c r="H16" s="46" t="str">
        <f>VLOOKUP(F16,Teams!$A$2:$B$17,2,FALSE)</f>
        <v>Италия</v>
      </c>
      <c r="I16" s="46" t="str">
        <f>VLOOKUP(G16,Teams!$A$2:$B$17,2,FALSE)</f>
        <v>Швеция</v>
      </c>
      <c r="J16" s="33"/>
      <c r="K16" s="33"/>
      <c r="L16" s="50">
        <f t="shared" si="0"/>
      </c>
      <c r="M16" s="50">
        <f t="shared" si="1"/>
      </c>
      <c r="O16" s="40"/>
      <c r="P16" s="71" t="s">
        <v>139</v>
      </c>
      <c r="Q16" s="71" t="s">
        <v>140</v>
      </c>
      <c r="R16" s="71" t="s">
        <v>141</v>
      </c>
      <c r="S16" s="71" t="s">
        <v>140</v>
      </c>
      <c r="T16" s="71" t="s">
        <v>142</v>
      </c>
      <c r="U16" s="71" t="s">
        <v>143</v>
      </c>
      <c r="V16" s="71" t="s">
        <v>144</v>
      </c>
      <c r="W16" s="72" t="s">
        <v>145</v>
      </c>
      <c r="AA16" s="49"/>
      <c r="AB16" s="73" t="s">
        <v>65</v>
      </c>
      <c r="AC16" s="73" t="s">
        <v>66</v>
      </c>
      <c r="AD16" s="73" t="s">
        <v>67</v>
      </c>
      <c r="AE16" s="73" t="s">
        <v>43</v>
      </c>
      <c r="AF16" s="73" t="s">
        <v>68</v>
      </c>
      <c r="AG16" s="73" t="s">
        <v>34</v>
      </c>
      <c r="AH16" s="73" t="s">
        <v>69</v>
      </c>
      <c r="AI16" s="73" t="s">
        <v>70</v>
      </c>
      <c r="CI16" s="68"/>
      <c r="CJ16" s="68"/>
      <c r="CK16" s="68"/>
      <c r="CL16" s="68"/>
      <c r="CN16" s="50" t="str">
        <f>IF(COUNTIF(CU17:CU18,"x")=0,"YES","NO")</f>
        <v>NO</v>
      </c>
      <c r="CO16" s="50" t="str">
        <f>IF(AND(CU17="X",CU18="X",CV18&lt;&gt;"Y"),"YES","NO")</f>
        <v>NO</v>
      </c>
      <c r="CP16" s="50" t="str">
        <f>IF(AND(CU17="X",CU18="X",CU19="X",CU20&lt;&gt;"X"),"YES","NO")</f>
        <v>NO</v>
      </c>
      <c r="CQ16" s="50" t="str">
        <f>IF(AND(CU21=4,CV21=3),"YES","NO")</f>
        <v>YES</v>
      </c>
      <c r="CR16" s="50" t="str">
        <f>IF(AND(CU18="X",CU19="X",CU20="",CU17=""),"YES","NO")</f>
        <v>NO</v>
      </c>
      <c r="CS16" s="50" t="str">
        <f>IF(AND(CU18="X",CU19="X",CU20="X",CU17=""),"YES","NO")</f>
        <v>NO</v>
      </c>
    </row>
    <row r="17" spans="2:106" ht="11.25">
      <c r="B17" s="59" t="s">
        <v>15</v>
      </c>
      <c r="C17" s="60">
        <v>0.7083333333333333</v>
      </c>
      <c r="D17" s="59" t="s">
        <v>125</v>
      </c>
      <c r="E17" s="61" t="s">
        <v>43</v>
      </c>
      <c r="F17" s="45" t="s">
        <v>44</v>
      </c>
      <c r="G17" s="45" t="s">
        <v>51</v>
      </c>
      <c r="H17" s="46" t="str">
        <f>VLOOKUP(F17,Teams!$A$2:$B$17,2,FALSE)</f>
        <v>Латвия</v>
      </c>
      <c r="I17" s="46" t="str">
        <f>VLOOKUP(G17,Teams!$A$2:$B$17,2,FALSE)</f>
        <v>Германия</v>
      </c>
      <c r="J17" s="33"/>
      <c r="K17" s="33"/>
      <c r="L17" s="50">
        <f t="shared" si="0"/>
      </c>
      <c r="M17" s="50">
        <f t="shared" si="1"/>
      </c>
      <c r="O17" s="41" t="str">
        <f>HLOOKUP("YES",$CN$16:$CS$20,2,FALSE)</f>
        <v>Швеция</v>
      </c>
      <c r="P17" s="42">
        <f>VLOOKUP($O17,$AA$5:$AI$26,2,FALSE)</f>
        <v>0</v>
      </c>
      <c r="Q17" s="42">
        <f>VLOOKUP($O17,$AA$5:$AI$26,3,FALSE)</f>
        <v>0</v>
      </c>
      <c r="R17" s="42">
        <f>VLOOKUP($O17,$AA$5:$AI$26,4,FALSE)</f>
        <v>0</v>
      </c>
      <c r="S17" s="42">
        <f>VLOOKUP($O17,$AA$5:$AI$26,5,FALSE)</f>
        <v>0</v>
      </c>
      <c r="T17" s="42">
        <f>VLOOKUP($O17,$AA$5:$AI$26,6,FALSE)</f>
        <v>0</v>
      </c>
      <c r="U17" s="42">
        <f>VLOOKUP($O17,$AA$5:$AI$26,7,FALSE)</f>
        <v>0</v>
      </c>
      <c r="V17" s="42">
        <f>VLOOKUP($O17,$AA$5:$AI$26,8,FALSE)</f>
        <v>0</v>
      </c>
      <c r="W17" s="79">
        <f>VLOOKUP($O17,$AA$5:$AI$26,9,FALSE)</f>
        <v>0</v>
      </c>
      <c r="Z17" s="75" t="str">
        <f>Teams!A10</f>
        <v>C1</v>
      </c>
      <c r="AA17" s="75" t="str">
        <f>Teams!B10</f>
        <v>Швеция</v>
      </c>
      <c r="AB17" s="50">
        <f>MAX(COUNT(C_1_Pld),COUNT(C_1_against))</f>
        <v>0</v>
      </c>
      <c r="AC17" s="76">
        <f>COUNTIF($L$3:$L$26,AA17)</f>
        <v>0</v>
      </c>
      <c r="AD17" s="76">
        <f>COUNTIF($M$3:$M$26,AA17)</f>
        <v>0</v>
      </c>
      <c r="AE17" s="76">
        <f>AB17-AC17-AD17</f>
        <v>0</v>
      </c>
      <c r="AF17" s="76">
        <f>SUM(C_1_Pld)</f>
        <v>0</v>
      </c>
      <c r="AG17" s="76">
        <f>SUM(C_1_against)</f>
        <v>0</v>
      </c>
      <c r="AH17" s="76">
        <f>AF17-AG17</f>
        <v>0</v>
      </c>
      <c r="AI17" s="76">
        <f>AC17*3+AE17*1</f>
        <v>0</v>
      </c>
      <c r="AK17" s="50" t="str">
        <f>IF(AI17&gt;=AI18,IF(AI17&gt;=AI19,IF(AI17&gt;=AI20,AA17,AA20),IF(AI19&gt;=AI18,IF(AI19&gt;=AI20,AA19,AA20),IF(AI18&gt;=AI20,AA18,AA20))),IF(AI18&gt;=AI19,IF(AI18&gt;=AI20,AA18,AA20),IF(AI19&gt;=AI20,AA19,AA20)))</f>
        <v>Швеция</v>
      </c>
      <c r="AL17" s="50">
        <f>VLOOKUP(AK17,$AA$5:$AI$26,9,FALSE)</f>
        <v>0</v>
      </c>
      <c r="AM17" s="50" t="str">
        <f>AK17</f>
        <v>Швеция</v>
      </c>
      <c r="AN17" s="50">
        <f>VLOOKUP(AM17,$AA$5:$AI$26,9,FALSE)</f>
        <v>0</v>
      </c>
      <c r="AO17" s="50" t="str">
        <f>AM17</f>
        <v>Швеция</v>
      </c>
      <c r="AP17" s="50">
        <f>VLOOKUP(AO17,$AA$5:$AI$26,9,FALSE)</f>
        <v>0</v>
      </c>
      <c r="AQ17" s="50">
        <f t="shared" si="2"/>
        <v>0</v>
      </c>
      <c r="AS17" s="50" t="str">
        <f>IF(AQ17&gt;=AQ18,IF(AQ17&gt;=AQ19,IF(AQ17&gt;=AQ20,AO17,AO20),IF(AQ19&gt;=AQ18,IF(AQ19&gt;=AQ20,AO19,AO20),IF(AQ18&gt;=AQ20,AO18,AO20))),IF(AQ18&gt;=AQ19,IF(AQ18&gt;=AQ20,AO18,AO20),IF(AQ19&gt;=AQ20,AO19,AO20)))</f>
        <v>Швеция</v>
      </c>
      <c r="AT17" s="50">
        <f>VLOOKUP(AS17,$AA$5:$AI$26,9,FALSE)</f>
        <v>0</v>
      </c>
      <c r="AU17" s="50">
        <f>VLOOKUP(AS17,$AA$5:$AI$26,8,FALSE)</f>
        <v>0</v>
      </c>
      <c r="AV17" s="50" t="str">
        <f>AS17</f>
        <v>Швеция</v>
      </c>
      <c r="AW17" s="50">
        <f>VLOOKUP(AV17,$AA$5:$AI$26,9,FALSE)</f>
        <v>0</v>
      </c>
      <c r="AX17" s="50">
        <f>VLOOKUP(AV17,$AA$5:$AI$26,8,FALSE)</f>
        <v>0</v>
      </c>
      <c r="AY17" s="50" t="str">
        <f>AV17</f>
        <v>Швеция</v>
      </c>
      <c r="AZ17" s="50">
        <f>VLOOKUP(AY17,$AA$5:$AI$26,9,FALSE)</f>
        <v>0</v>
      </c>
      <c r="BA17" s="50">
        <f>VLOOKUP(AY17,$AA$5:$AI$26,8,FALSE)</f>
        <v>0</v>
      </c>
      <c r="BB17" s="50">
        <v>1</v>
      </c>
      <c r="BC17" s="50">
        <f>VLOOKUP(AY17,$AA$5:$AI$26,6,FALSE)</f>
        <v>0</v>
      </c>
      <c r="BE17" s="50" t="str">
        <f>IF(BC17&gt;=BC18,IF(BC17&gt;=BC19,IF(BC17&gt;=BC20,AY17,AY20),IF(BC19&gt;=BC18,IF(BC19&gt;=BC20,AY19,AY20),IF(BC18&gt;=BC20,AY18,AY20))),IF(BC18&gt;=BC19,IF(BC18&gt;=BC20,AY18,AY20),IF(BC19&gt;=BC20,AY19,AY20)))</f>
        <v>Швеция</v>
      </c>
      <c r="BF17" s="50">
        <f>VLOOKUP(BE17,$AA$5:$AI$26,9,FALSE)</f>
        <v>0</v>
      </c>
      <c r="BG17" s="50">
        <f>VLOOKUP(BE17,$AA$5:$AI$26,6,FALSE)</f>
        <v>0</v>
      </c>
      <c r="BH17" s="50" t="str">
        <f>BE17</f>
        <v>Швеция</v>
      </c>
      <c r="BI17" s="50">
        <f>VLOOKUP(BH17,$AA$5:$AI$26,9,FALSE)</f>
        <v>0</v>
      </c>
      <c r="BJ17" s="50">
        <f>VLOOKUP(BH17,$AA$5:$AI$26,6,FALSE)</f>
        <v>0</v>
      </c>
      <c r="BK17" s="50" t="str">
        <f>BH17</f>
        <v>Швеция</v>
      </c>
      <c r="BL17" s="50">
        <f>VLOOKUP(BK17,$AA$5:$AI$26,9,FALSE)</f>
        <v>0</v>
      </c>
      <c r="BM17" s="50">
        <f>VLOOKUP(BK17,$AA$5:$AI$26,6,FALSE)</f>
        <v>0</v>
      </c>
      <c r="BN17" s="50">
        <v>1</v>
      </c>
      <c r="BP17" s="50" t="str">
        <f>IF(AP17=AP18,IF(AP17=AP19,IF(AP17=AP20,AY17,IF(AQ17&gt;=AQ18,IF(AQ17&gt;=AQ19,AO17,AO19),IF(AQ18&gt;=AQ19,AO18,AO19))),IF(AQ17&gt;=AQ18,AO17,AO18)),AO17)</f>
        <v>Швеция</v>
      </c>
      <c r="BQ17" s="50">
        <f>VLOOKUP(BP17,$AA$5:$AI$26,9,FALSE)</f>
        <v>0</v>
      </c>
      <c r="BR17" s="50">
        <f>VLOOKUP(BP17,$AA$5:$AI$26,8,FALSE)</f>
        <v>0</v>
      </c>
      <c r="BS17" s="50" t="str">
        <f>BP17</f>
        <v>Швеция</v>
      </c>
      <c r="BT17" s="50">
        <f>VLOOKUP(BS17,$AA$5:$AI$26,9,FALSE)</f>
        <v>0</v>
      </c>
      <c r="BU17" s="50">
        <f>VLOOKUP(BS17,$AA$5:$AI$26,8,FALSE)</f>
        <v>0</v>
      </c>
      <c r="BV17" s="50" t="str">
        <f>BS17</f>
        <v>Швеция</v>
      </c>
      <c r="BW17" s="50">
        <f>VLOOKUP(BV17,$AA$5:$AI$26,9,FALSE)</f>
        <v>0</v>
      </c>
      <c r="BX17" s="50">
        <f>VLOOKUP(BV17,$AA$5:$AI$26,8,FALSE)</f>
        <v>0</v>
      </c>
      <c r="BY17" s="50">
        <f>VLOOKUP(BV17,$AA$5:$AI$26,6,FALSE)</f>
        <v>0</v>
      </c>
      <c r="CA17" s="50" t="str">
        <f>IF(AND(BW17=BW18,BX17=BX18),IF(AND(BW17=BW19,BX17=BX19),IF(AND(BW17=BW20,BX17=BX20),BK17,IF(BY17&gt;=BY18,IF(BY17&gt;=BY19,BV17,BV19),IF(BY18&gt;=BY19,BV18,BV19))),IF(BY17&gt;=BY18,BV17,BV18)),BV17)</f>
        <v>Швеция</v>
      </c>
      <c r="CB17" s="50">
        <f>VLOOKUP(CA17,$AA$5:$AI$26,9,FALSE)</f>
        <v>0</v>
      </c>
      <c r="CC17" s="50">
        <f>VLOOKUP(CA17,$AA$5:$AI$26,8,FALSE)</f>
        <v>0</v>
      </c>
      <c r="CD17" s="50">
        <f>VLOOKUP(CA17,$AA$5:$AI$26,6,FALSE)</f>
        <v>0</v>
      </c>
      <c r="CE17" s="50" t="str">
        <f>CA17</f>
        <v>Швеция</v>
      </c>
      <c r="CF17" s="50">
        <f>VLOOKUP(CE17,$AA$5:$AI$26,9,FALSE)</f>
        <v>0</v>
      </c>
      <c r="CG17" s="50">
        <f>VLOOKUP(CE17,$AA$5:$AI$26,8,FALSE)</f>
        <v>0</v>
      </c>
      <c r="CH17" s="50">
        <f>VLOOKUP(CE17,$AA$5:$AI$26,6,FALSE)</f>
        <v>0</v>
      </c>
      <c r="CI17" s="68" t="str">
        <f>CE17</f>
        <v>Швеция</v>
      </c>
      <c r="CJ17" s="68">
        <f>VLOOKUP(CI17,$AA$5:$AI$26,9,FALSE)</f>
        <v>0</v>
      </c>
      <c r="CK17" s="68">
        <f>VLOOKUP(CI17,$AA$5:$AI$26,8,FALSE)</f>
        <v>0</v>
      </c>
      <c r="CL17" s="68">
        <f>VLOOKUP(CI17,$AA$5:$AI$26,6,FALSE)</f>
        <v>0</v>
      </c>
      <c r="CN17" s="50" t="str">
        <f>CI17</f>
        <v>Швеция</v>
      </c>
      <c r="CO17" s="50" t="str">
        <f>General_MA!CP17</f>
        <v>Швеция</v>
      </c>
      <c r="CP17" s="50" t="str">
        <f>General_MA!CP17</f>
        <v>Швеция</v>
      </c>
      <c r="CQ17" s="50" t="str">
        <f>CI17</f>
        <v>Швеция</v>
      </c>
      <c r="CR17" s="50" t="str">
        <f>CI17</f>
        <v>Швеция</v>
      </c>
      <c r="CS17" s="50" t="str">
        <f>CR17</f>
        <v>Швеция</v>
      </c>
      <c r="CU17" s="50" t="str">
        <f>IF(OR(AP17=AP18,AP17=AP16),"X","")</f>
        <v>X</v>
      </c>
      <c r="CV17" s="50" t="str">
        <f>IF(CU17="x",IF(AP17=AP18,"y",""),"")</f>
        <v>y</v>
      </c>
      <c r="CX17" s="50" t="str">
        <f>IF(CU17="x",AO17,"")</f>
        <v>Швеция</v>
      </c>
      <c r="DB17" s="50">
        <f>IF(CX17="",CI17,"")</f>
      </c>
    </row>
    <row r="18" spans="2:106" ht="11.25">
      <c r="B18" s="59" t="s">
        <v>15</v>
      </c>
      <c r="C18" s="60">
        <v>0.8229166666666666</v>
      </c>
      <c r="D18" s="59" t="s">
        <v>10</v>
      </c>
      <c r="E18" s="61" t="s">
        <v>43</v>
      </c>
      <c r="F18" s="45" t="s">
        <v>42</v>
      </c>
      <c r="G18" s="45" t="s">
        <v>52</v>
      </c>
      <c r="H18" s="46" t="str">
        <f>VLOOKUP(F18,Teams!$A$2:$B$17,2,FALSE)</f>
        <v>Нидерланды</v>
      </c>
      <c r="I18" s="46" t="str">
        <f>VLOOKUP(G18,Teams!$A$2:$B$17,2,FALSE)</f>
        <v>Чехия</v>
      </c>
      <c r="J18" s="33"/>
      <c r="K18" s="33"/>
      <c r="L18" s="50">
        <f t="shared" si="0"/>
      </c>
      <c r="M18" s="50">
        <f t="shared" si="1"/>
      </c>
      <c r="O18" s="41" t="str">
        <f>HLOOKUP("YES",$CN$16:$CS$20,3,FALSE)</f>
        <v>Болгария</v>
      </c>
      <c r="P18" s="42">
        <f>VLOOKUP($O18,$AA$5:$AI$26,2,FALSE)</f>
        <v>0</v>
      </c>
      <c r="Q18" s="42">
        <f>VLOOKUP($O18,$AA$5:$AI$26,3,FALSE)</f>
        <v>0</v>
      </c>
      <c r="R18" s="42">
        <f>VLOOKUP($O18,$AA$5:$AI$26,4,FALSE)</f>
        <v>0</v>
      </c>
      <c r="S18" s="42">
        <f>VLOOKUP($O18,$AA$5:$AI$26,5,FALSE)</f>
        <v>0</v>
      </c>
      <c r="T18" s="42">
        <f>VLOOKUP($O18,$AA$5:$AI$26,6,FALSE)</f>
        <v>0</v>
      </c>
      <c r="U18" s="42">
        <f>VLOOKUP($O18,$AA$5:$AI$26,7,FALSE)</f>
        <v>0</v>
      </c>
      <c r="V18" s="42">
        <f>VLOOKUP($O18,$AA$5:$AI$26,8,FALSE)</f>
        <v>0</v>
      </c>
      <c r="W18" s="79">
        <f>VLOOKUP($O18,$AA$5:$AI$26,9,FALSE)</f>
        <v>0</v>
      </c>
      <c r="Z18" s="75" t="str">
        <f>Teams!A11</f>
        <v>C2</v>
      </c>
      <c r="AA18" s="75" t="str">
        <f>Teams!B11</f>
        <v>Болгария</v>
      </c>
      <c r="AB18" s="50">
        <f>MAX(COUNT(C_2_Pld),COUNT(C_2_against))</f>
        <v>0</v>
      </c>
      <c r="AC18" s="76">
        <f>COUNTIF($L$3:$L$26,AA18)</f>
        <v>0</v>
      </c>
      <c r="AD18" s="76">
        <f>COUNTIF($M$3:$M$26,AA18)</f>
        <v>0</v>
      </c>
      <c r="AE18" s="76">
        <f>AB18-AC18-AD18</f>
        <v>0</v>
      </c>
      <c r="AF18" s="76">
        <f>SUM(C_2_Pld)</f>
        <v>0</v>
      </c>
      <c r="AG18" s="76">
        <f>SUM(C_2_against)</f>
        <v>0</v>
      </c>
      <c r="AH18" s="76">
        <f>AF18-AG18</f>
        <v>0</v>
      </c>
      <c r="AI18" s="76">
        <f>AC18*3+AE18*1</f>
        <v>0</v>
      </c>
      <c r="AK18" s="50" t="str">
        <f>IF(AA18=AK$17,AA$17,AA18)</f>
        <v>Болгария</v>
      </c>
      <c r="AL18" s="50">
        <f>VLOOKUP(AK18,$AA$5:$AI$26,9,FALSE)</f>
        <v>0</v>
      </c>
      <c r="AM18" s="50" t="str">
        <f>IF(AL18&gt;=AL19,IF(AL18&gt;=AL20,AK18,AK20),IF(AL19&gt;=AL20,AK19,AK20))</f>
        <v>Болгария</v>
      </c>
      <c r="AN18" s="50">
        <f aca="true" t="shared" si="4" ref="AN18:AP20">VLOOKUP(AM18,$AA$5:$AI$26,9,FALSE)</f>
        <v>0</v>
      </c>
      <c r="AO18" s="50" t="str">
        <f>IF(AN18&gt;=AN19,IF(AN18&gt;=AN20,AM18,AM20),IF(AN19&gt;=AN20,AM19,AM20))</f>
        <v>Болгария</v>
      </c>
      <c r="AP18" s="50">
        <f t="shared" si="4"/>
        <v>0</v>
      </c>
      <c r="AQ18" s="50">
        <f t="shared" si="2"/>
        <v>0</v>
      </c>
      <c r="AS18" s="50" t="str">
        <f>IF(AO18=$AS$17,$AO$17,AO18)</f>
        <v>Болгария</v>
      </c>
      <c r="AT18" s="50">
        <f>VLOOKUP(AS18,$AA$5:$AI$26,9,FALSE)</f>
        <v>0</v>
      </c>
      <c r="AU18" s="50">
        <f>VLOOKUP(AS18,$AA$5:$AI$26,8,FALSE)</f>
        <v>0</v>
      </c>
      <c r="AV18" s="50" t="str">
        <f>IF(AU18&gt;=AU19,IF(AU18&gt;=AU20,AS18,AS20),IF(AU19&gt;=AU20,AS19,AS20))</f>
        <v>Болгария</v>
      </c>
      <c r="AW18" s="50">
        <f>VLOOKUP(AV18,$AA$5:$AI$26,9,FALSE)</f>
        <v>0</v>
      </c>
      <c r="AX18" s="50">
        <f>VLOOKUP(AV18,$AA$5:$AI$26,8,FALSE)</f>
        <v>0</v>
      </c>
      <c r="AY18" s="50" t="str">
        <f>AV18</f>
        <v>Болгария</v>
      </c>
      <c r="AZ18" s="50">
        <f>VLOOKUP(AY18,$AA$5:$AI$26,9,FALSE)</f>
        <v>0</v>
      </c>
      <c r="BA18" s="50">
        <f>VLOOKUP(AY18,$AA$5:$AI$26,8,FALSE)</f>
        <v>0</v>
      </c>
      <c r="BB18" s="50">
        <v>2</v>
      </c>
      <c r="BC18" s="50">
        <f>VLOOKUP(AY18,$AA$5:$AI$26,6,FALSE)</f>
        <v>0</v>
      </c>
      <c r="BE18" s="50" t="str">
        <f>IF(AY18=BE$17,AY$17,AY18)</f>
        <v>Болгария</v>
      </c>
      <c r="BF18" s="50">
        <f>VLOOKUP(BE18,$AA$5:$AI$26,9,FALSE)</f>
        <v>0</v>
      </c>
      <c r="BG18" s="50">
        <f>VLOOKUP(BE18,$AA$5:$AI$26,6,FALSE)</f>
        <v>0</v>
      </c>
      <c r="BH18" s="50" t="str">
        <f>IF(BG18&gt;=BG19,IF(BG18&gt;=BG20,BE18,BE20),IF(BG19&gt;=BG20,BE19,BE20))</f>
        <v>Болгария</v>
      </c>
      <c r="BI18" s="50">
        <f>VLOOKUP(BH18,$AA$5:$AI$26,9,FALSE)</f>
        <v>0</v>
      </c>
      <c r="BJ18" s="50">
        <f>VLOOKUP(BH18,$AA$5:$AI$26,6,FALSE)</f>
        <v>0</v>
      </c>
      <c r="BK18" s="50" t="str">
        <f>BH18</f>
        <v>Болгария</v>
      </c>
      <c r="BL18" s="50">
        <f>VLOOKUP(BK18,$AA$5:$AI$26,9,FALSE)</f>
        <v>0</v>
      </c>
      <c r="BM18" s="50">
        <f>VLOOKUP(BK18,$AA$5:$AI$26,6,FALSE)</f>
        <v>0</v>
      </c>
      <c r="BN18" s="50">
        <v>2</v>
      </c>
      <c r="BP18" s="50" t="str">
        <f>IF(AO18=BP$17,AO$17,AO18)</f>
        <v>Болгария</v>
      </c>
      <c r="BQ18" s="50">
        <f>VLOOKUP(BP18,$AA$5:$AI$26,9,FALSE)</f>
        <v>0</v>
      </c>
      <c r="BR18" s="50">
        <f>VLOOKUP(BP18,$AA$5:$AI$26,8,FALSE)</f>
        <v>0</v>
      </c>
      <c r="BS18" s="50" t="str">
        <f>IF(BQ18=BQ19,IF(BQ18=BQ20,IF(BR18&gt;=BR19,IF(BR18&gt;=BR20,BP18,BP20),IF(BR19&gt;=BR20,BP19,BP20)),IF(BR18&gt;=BR19,BP18,BP19)),BP18)</f>
        <v>Болгария</v>
      </c>
      <c r="BT18" s="50">
        <f>VLOOKUP(BS18,$AA$5:$AI$26,9,FALSE)</f>
        <v>0</v>
      </c>
      <c r="BU18" s="50">
        <f>VLOOKUP(BS18,$AA$5:$AI$26,8,FALSE)</f>
        <v>0</v>
      </c>
      <c r="BV18" s="50" t="str">
        <f>BS18</f>
        <v>Болгария</v>
      </c>
      <c r="BW18" s="50">
        <f>VLOOKUP(BV18,$AA$5:$AI$26,9,FALSE)</f>
        <v>0</v>
      </c>
      <c r="BX18" s="50">
        <f>VLOOKUP(BV18,$AA$5:$AI$26,8,FALSE)</f>
        <v>0</v>
      </c>
      <c r="BY18" s="50">
        <f>VLOOKUP(BV18,$AA$5:$AI$26,6,FALSE)</f>
        <v>0</v>
      </c>
      <c r="CA18" s="50" t="str">
        <f>IF(BV18=CA$17,BV$17,BV18)</f>
        <v>Болгария</v>
      </c>
      <c r="CB18" s="50">
        <f>VLOOKUP(CA18,$AA$5:$AI$26,9,FALSE)</f>
        <v>0</v>
      </c>
      <c r="CC18" s="50">
        <f>VLOOKUP(CA18,$AA$5:$AI$26,8,FALSE)</f>
        <v>0</v>
      </c>
      <c r="CD18" s="50">
        <f>VLOOKUP(CA18,$AA$5:$AI$26,6,FALSE)</f>
        <v>0</v>
      </c>
      <c r="CE18" s="50" t="str">
        <f>IF(AND(CB18=CB19,CC18=CC19),IF(AND(CB18=CB20,CC18=CC20),IF(CD18&gt;=CD19,IF(CD18&gt;=CD20,CA18,CA20),IF(CD19&gt;=CD20,CA19,CA20)),IF(CD18&gt;=CD19,CA18,CA19)),CA18)</f>
        <v>Болгария</v>
      </c>
      <c r="CF18" s="50">
        <f>VLOOKUP(CE18,$AA$5:$AI$26,9,FALSE)</f>
        <v>0</v>
      </c>
      <c r="CG18" s="50">
        <f>VLOOKUP(CE18,$AA$5:$AI$26,8,FALSE)</f>
        <v>0</v>
      </c>
      <c r="CH18" s="50">
        <f>VLOOKUP(CE18,$AA$5:$AI$26,6,FALSE)</f>
        <v>0</v>
      </c>
      <c r="CI18" s="68" t="str">
        <f>CE18</f>
        <v>Болгария</v>
      </c>
      <c r="CJ18" s="68">
        <f>VLOOKUP(CI18,$AA$5:$AI$26,9,FALSE)</f>
        <v>0</v>
      </c>
      <c r="CK18" s="68">
        <f>VLOOKUP(CI18,$AA$5:$AI$26,8,FALSE)</f>
        <v>0</v>
      </c>
      <c r="CL18" s="68">
        <f>VLOOKUP(CI18,$AA$5:$AI$26,6,FALSE)</f>
        <v>0</v>
      </c>
      <c r="CN18" s="50" t="str">
        <f>CI18</f>
        <v>Болгария</v>
      </c>
      <c r="CO18" s="50" t="str">
        <f>General_MA!CP18</f>
        <v>Болгария</v>
      </c>
      <c r="CP18" s="50" t="str">
        <f>General_MA!CP18</f>
        <v>Болгария</v>
      </c>
      <c r="CQ18" s="50" t="str">
        <f>CI18</f>
        <v>Болгария</v>
      </c>
      <c r="CR18" s="50" t="str">
        <f>General_MA!CP17</f>
        <v>Швеция</v>
      </c>
      <c r="CS18" s="50" t="str">
        <f>General_MA!CP17</f>
        <v>Швеция</v>
      </c>
      <c r="CU18" s="50" t="str">
        <f>IF(OR(AP18=AP19,AP18=AP17),"X","")</f>
        <v>X</v>
      </c>
      <c r="CV18" s="50" t="str">
        <f>IF(CU18="x",IF(AP18=AP19,"y",""),"")</f>
        <v>y</v>
      </c>
      <c r="CX18" s="50" t="str">
        <f>IF(CU18="x",AO18,"")</f>
        <v>Болгария</v>
      </c>
      <c r="DB18" s="50">
        <f>IF(CX18="",CI18,"")</f>
      </c>
    </row>
    <row r="19" spans="2:106" ht="11.25">
      <c r="B19" s="59" t="s">
        <v>16</v>
      </c>
      <c r="C19" s="60">
        <v>0.8229166666666666</v>
      </c>
      <c r="D19" s="59" t="s">
        <v>2</v>
      </c>
      <c r="E19" s="61" t="s">
        <v>34</v>
      </c>
      <c r="F19" s="45" t="s">
        <v>35</v>
      </c>
      <c r="G19" s="45" t="s">
        <v>33</v>
      </c>
      <c r="H19" s="46" t="str">
        <f>VLOOKUP(F19,Teams!$A$2:$B$17,2,FALSE)</f>
        <v>Россия</v>
      </c>
      <c r="I19" s="46" t="str">
        <f>VLOOKUP(G19,Teams!$A$2:$B$17,2,FALSE)</f>
        <v>Греция</v>
      </c>
      <c r="J19" s="33"/>
      <c r="K19" s="33"/>
      <c r="L19" s="50">
        <f t="shared" si="0"/>
      </c>
      <c r="M19" s="50">
        <f t="shared" si="1"/>
      </c>
      <c r="O19" s="41" t="str">
        <f>HLOOKUP("YES",$CN$16:$CS$20,4,FALSE)</f>
        <v>Дания</v>
      </c>
      <c r="P19" s="42">
        <f>VLOOKUP($O19,$AA$5:$AI$26,2,FALSE)</f>
        <v>0</v>
      </c>
      <c r="Q19" s="42">
        <f>VLOOKUP($O19,$AA$5:$AI$26,3,FALSE)</f>
        <v>0</v>
      </c>
      <c r="R19" s="42">
        <f>VLOOKUP($O19,$AA$5:$AI$26,4,FALSE)</f>
        <v>0</v>
      </c>
      <c r="S19" s="42">
        <f>VLOOKUP($O19,$AA$5:$AI$26,5,FALSE)</f>
        <v>0</v>
      </c>
      <c r="T19" s="42">
        <f>VLOOKUP($O19,$AA$5:$AI$26,6,FALSE)</f>
        <v>0</v>
      </c>
      <c r="U19" s="42">
        <f>VLOOKUP($O19,$AA$5:$AI$26,7,FALSE)</f>
        <v>0</v>
      </c>
      <c r="V19" s="42">
        <f>VLOOKUP($O19,$AA$5:$AI$26,8,FALSE)</f>
        <v>0</v>
      </c>
      <c r="W19" s="79">
        <f>VLOOKUP($O19,$AA$5:$AI$26,9,FALSE)</f>
        <v>0</v>
      </c>
      <c r="Z19" s="75" t="str">
        <f>Teams!A12</f>
        <v>C3</v>
      </c>
      <c r="AA19" s="75" t="str">
        <f>Teams!B12</f>
        <v>Дания</v>
      </c>
      <c r="AB19" s="50">
        <f>MAX(COUNT(C_3_Pld),COUNT(C_3_against))</f>
        <v>0</v>
      </c>
      <c r="AC19" s="76">
        <f>COUNTIF($L$3:$L$26,AA19)</f>
        <v>0</v>
      </c>
      <c r="AD19" s="76">
        <f>COUNTIF($M$3:$M$26,AA19)</f>
        <v>0</v>
      </c>
      <c r="AE19" s="76">
        <f>AB19-AC19-AD19</f>
        <v>0</v>
      </c>
      <c r="AF19" s="76">
        <f>SUM(C_3_Pld)</f>
        <v>0</v>
      </c>
      <c r="AG19" s="76">
        <f>SUM(C_3_against)</f>
        <v>0</v>
      </c>
      <c r="AH19" s="76">
        <f>AF19-AG19</f>
        <v>0</v>
      </c>
      <c r="AI19" s="76">
        <f>AC19*3+AE19*1</f>
        <v>0</v>
      </c>
      <c r="AK19" s="50" t="str">
        <f>IF(AA19=AK$17,AA$17,AA19)</f>
        <v>Дания</v>
      </c>
      <c r="AL19" s="50">
        <f>VLOOKUP(AK19,$AA$5:$AI$26,9,FALSE)</f>
        <v>0</v>
      </c>
      <c r="AM19" s="50" t="str">
        <f>IF(AK19=AM$18,AK$18,AK19)</f>
        <v>Дания</v>
      </c>
      <c r="AN19" s="50">
        <f t="shared" si="4"/>
        <v>0</v>
      </c>
      <c r="AO19" s="50" t="str">
        <f>IF(AN19&gt;=AN20,AM19,AM20)</f>
        <v>Дания</v>
      </c>
      <c r="AP19" s="50">
        <f t="shared" si="4"/>
        <v>0</v>
      </c>
      <c r="AQ19" s="50">
        <f t="shared" si="2"/>
        <v>0</v>
      </c>
      <c r="AS19" s="50" t="str">
        <f>IF(AO19=$AS$17,$AO$17,AO19)</f>
        <v>Дания</v>
      </c>
      <c r="AT19" s="50">
        <f>VLOOKUP(AS19,$AA$5:$AI$26,9,FALSE)</f>
        <v>0</v>
      </c>
      <c r="AU19" s="50">
        <f>VLOOKUP(AS19,$AA$5:$AI$26,8,FALSE)</f>
        <v>0</v>
      </c>
      <c r="AV19" s="50" t="str">
        <f>IF(AS19=AV$18,AS$18,AS19)</f>
        <v>Дания</v>
      </c>
      <c r="AW19" s="50">
        <f>VLOOKUP(AV19,$AA$5:$AI$26,9,FALSE)</f>
        <v>0</v>
      </c>
      <c r="AX19" s="50">
        <f>VLOOKUP(AV19,$AA$5:$AI$26,8,FALSE)</f>
        <v>0</v>
      </c>
      <c r="AY19" s="50" t="str">
        <f>IF(AX19&gt;=AX20,AV19,AV20)</f>
        <v>Дания</v>
      </c>
      <c r="AZ19" s="50">
        <f>VLOOKUP(AY19,$AA$5:$AI$26,9,FALSE)</f>
        <v>0</v>
      </c>
      <c r="BA19" s="50">
        <f>VLOOKUP(AY19,$AA$5:$AI$26,8,FALSE)</f>
        <v>0</v>
      </c>
      <c r="BB19" s="50">
        <v>3</v>
      </c>
      <c r="BC19" s="50">
        <f>VLOOKUP(AY19,$AA$5:$AI$26,6,FALSE)</f>
        <v>0</v>
      </c>
      <c r="BE19" s="50" t="str">
        <f>IF(AY19=BE$17,AY$17,AY19)</f>
        <v>Дания</v>
      </c>
      <c r="BF19" s="50">
        <f>VLOOKUP(BE19,$AA$5:$AI$26,9,FALSE)</f>
        <v>0</v>
      </c>
      <c r="BG19" s="50">
        <f>VLOOKUP(BE19,$AA$5:$AI$26,6,FALSE)</f>
        <v>0</v>
      </c>
      <c r="BH19" s="50" t="str">
        <f>IF(BE19=BH$18,BE$18,BE19)</f>
        <v>Дания</v>
      </c>
      <c r="BI19" s="50">
        <f>VLOOKUP(BH19,$AA$5:$AI$26,9,FALSE)</f>
        <v>0</v>
      </c>
      <c r="BJ19" s="50">
        <f>VLOOKUP(BH19,$AA$5:$AI$26,6,FALSE)</f>
        <v>0</v>
      </c>
      <c r="BK19" s="50" t="str">
        <f>IF(BJ19&gt;=BJ20,BH19,BH20)</f>
        <v>Дания</v>
      </c>
      <c r="BL19" s="50">
        <f>VLOOKUP(BK19,$AA$5:$AI$26,9,FALSE)</f>
        <v>0</v>
      </c>
      <c r="BM19" s="50">
        <f>VLOOKUP(BK19,$AA$5:$AI$26,6,FALSE)</f>
        <v>0</v>
      </c>
      <c r="BN19" s="50">
        <v>3</v>
      </c>
      <c r="BP19" s="50" t="str">
        <f>IF(AO19=BP$17,AO$17,AO19)</f>
        <v>Дания</v>
      </c>
      <c r="BQ19" s="50">
        <f>VLOOKUP(BP19,$AA$5:$AI$26,9,FALSE)</f>
        <v>0</v>
      </c>
      <c r="BR19" s="50">
        <f>VLOOKUP(BP19,$AA$5:$AI$26,8,FALSE)</f>
        <v>0</v>
      </c>
      <c r="BS19" s="50" t="str">
        <f>IF(BP19=BS$18,BP$18,BP19)</f>
        <v>Дания</v>
      </c>
      <c r="BT19" s="50">
        <f>VLOOKUP(BS19,$AA$5:$AI$26,9,FALSE)</f>
        <v>0</v>
      </c>
      <c r="BU19" s="50">
        <f>VLOOKUP(BS19,$AA$5:$AI$26,8,FALSE)</f>
        <v>0</v>
      </c>
      <c r="BV19" s="50" t="str">
        <f>IF(BT19=BT20,IF(BU19&gt;=BU20,BS19,BS20),BS19)</f>
        <v>Дания</v>
      </c>
      <c r="BW19" s="50">
        <f>VLOOKUP(BV19,$AA$5:$AI$26,9,FALSE)</f>
        <v>0</v>
      </c>
      <c r="BX19" s="50">
        <f>VLOOKUP(BV19,$AA$5:$AI$26,8,FALSE)</f>
        <v>0</v>
      </c>
      <c r="BY19" s="50">
        <f>VLOOKUP(BV19,$AA$5:$AI$26,6,FALSE)</f>
        <v>0</v>
      </c>
      <c r="CA19" s="50" t="str">
        <f>IF(BV19=CA$17,BV$17,BV19)</f>
        <v>Дания</v>
      </c>
      <c r="CB19" s="50">
        <f>VLOOKUP(CA19,$AA$5:$AI$26,9,FALSE)</f>
        <v>0</v>
      </c>
      <c r="CC19" s="50">
        <f>VLOOKUP(CA19,$AA$5:$AI$26,8,FALSE)</f>
        <v>0</v>
      </c>
      <c r="CD19" s="50">
        <f>VLOOKUP(CA19,$AA$5:$AI$26,6,FALSE)</f>
        <v>0</v>
      </c>
      <c r="CE19" s="50" t="str">
        <f>IF(CA19=CE$18,CA$18,CA19)</f>
        <v>Дания</v>
      </c>
      <c r="CF19" s="50">
        <f>VLOOKUP(CE19,$AA$5:$AI$26,9,FALSE)</f>
        <v>0</v>
      </c>
      <c r="CG19" s="50">
        <f>VLOOKUP(CE19,$AA$5:$AI$26,8,FALSE)</f>
        <v>0</v>
      </c>
      <c r="CH19" s="50">
        <f>VLOOKUP(CE19,$AA$5:$AI$26,6,FALSE)</f>
        <v>0</v>
      </c>
      <c r="CI19" s="68" t="str">
        <f>IF(AND(CF19=CF20,CG19=CG20),IF(CH19&gt;=CH20,CE19,CE20),CE19)</f>
        <v>Дания</v>
      </c>
      <c r="CJ19" s="68">
        <f>VLOOKUP(CI19,$AA$5:$AI$26,9,FALSE)</f>
        <v>0</v>
      </c>
      <c r="CK19" s="68">
        <f>VLOOKUP(CI19,$AA$5:$AI$26,8,FALSE)</f>
        <v>0</v>
      </c>
      <c r="CL19" s="68">
        <f>VLOOKUP(CI19,$AA$5:$AI$26,6,FALSE)</f>
        <v>0</v>
      </c>
      <c r="CN19" s="50" t="str">
        <f>CI19</f>
        <v>Дания</v>
      </c>
      <c r="CO19" s="50" t="str">
        <f>CI19</f>
        <v>Дания</v>
      </c>
      <c r="CP19" s="50" t="str">
        <f>General_MA!CP19</f>
        <v>Дания</v>
      </c>
      <c r="CQ19" s="50" t="str">
        <f>CI19</f>
        <v>Дания</v>
      </c>
      <c r="CR19" s="50" t="str">
        <f>General_MA!CP18</f>
        <v>Болгария</v>
      </c>
      <c r="CS19" s="50" t="str">
        <f>General_MA!CP18</f>
        <v>Болгария</v>
      </c>
      <c r="CU19" s="50" t="str">
        <f>IF(OR(AP19=AP20,AP19=AP18),"X","")</f>
        <v>X</v>
      </c>
      <c r="CV19" s="50" t="str">
        <f>IF(CU19="x",IF(AP19=AP20,"y",""),"")</f>
        <v>y</v>
      </c>
      <c r="CX19" s="50" t="str">
        <f>IF(CU19="x",AO19,"")</f>
        <v>Дания</v>
      </c>
      <c r="DB19" s="50">
        <f>IF(AND(CU$21=4,CV$21=2),CX19,IF(CX19="",CI19,""))</f>
      </c>
    </row>
    <row r="20" spans="2:106" ht="11.25">
      <c r="B20" s="59" t="s">
        <v>16</v>
      </c>
      <c r="C20" s="60">
        <v>0.8229166666666666</v>
      </c>
      <c r="D20" s="59" t="s">
        <v>128</v>
      </c>
      <c r="E20" s="61" t="s">
        <v>34</v>
      </c>
      <c r="F20" s="45" t="s">
        <v>45</v>
      </c>
      <c r="G20" s="45" t="s">
        <v>46</v>
      </c>
      <c r="H20" s="46" t="str">
        <f>VLOOKUP(F20,Teams!$A$2:$B$17,2,FALSE)</f>
        <v>Испания</v>
      </c>
      <c r="I20" s="46" t="str">
        <f>VLOOKUP(G20,Teams!$A$2:$B$17,2,FALSE)</f>
        <v>Португалия</v>
      </c>
      <c r="J20" s="33"/>
      <c r="K20" s="33"/>
      <c r="L20" s="50">
        <f t="shared" si="0"/>
      </c>
      <c r="M20" s="50">
        <f t="shared" si="1"/>
      </c>
      <c r="O20" s="43" t="str">
        <f>HLOOKUP("YES",$CN$16:$CS$20,5,FALSE)</f>
        <v>Италия</v>
      </c>
      <c r="P20" s="44">
        <f>VLOOKUP($O20,$AA$5:$AI$26,2,FALSE)</f>
        <v>0</v>
      </c>
      <c r="Q20" s="44">
        <f>VLOOKUP($O20,$AA$5:$AI$26,3,FALSE)</f>
        <v>0</v>
      </c>
      <c r="R20" s="44">
        <f>VLOOKUP($O20,$AA$5:$AI$26,4,FALSE)</f>
        <v>0</v>
      </c>
      <c r="S20" s="44">
        <f>VLOOKUP($O20,$AA$5:$AI$26,5,FALSE)</f>
        <v>0</v>
      </c>
      <c r="T20" s="44">
        <f>VLOOKUP($O20,$AA$5:$AI$26,6,FALSE)</f>
        <v>0</v>
      </c>
      <c r="U20" s="44">
        <f>VLOOKUP($O20,$AA$5:$AI$26,7,FALSE)</f>
        <v>0</v>
      </c>
      <c r="V20" s="44">
        <f>VLOOKUP($O20,$AA$5:$AI$26,8,FALSE)</f>
        <v>0</v>
      </c>
      <c r="W20" s="80">
        <f>VLOOKUP($O20,$AA$5:$AI$26,9,FALSE)</f>
        <v>0</v>
      </c>
      <c r="Z20" s="75" t="str">
        <f>Teams!A13</f>
        <v>C4</v>
      </c>
      <c r="AA20" s="75" t="str">
        <f>Teams!B13</f>
        <v>Италия</v>
      </c>
      <c r="AB20" s="50">
        <f>MAX(COUNT(C_4_Pld),COUNT(C_4_against))</f>
        <v>0</v>
      </c>
      <c r="AC20" s="76">
        <f>COUNTIF($L$3:$L$26,AA20)</f>
        <v>0</v>
      </c>
      <c r="AD20" s="76">
        <f>COUNTIF($M$3:$M$26,AA20)</f>
        <v>0</v>
      </c>
      <c r="AE20" s="76">
        <f>AB20-AC20-AD20</f>
        <v>0</v>
      </c>
      <c r="AF20" s="76">
        <f>SUM(C_4_Pld)</f>
        <v>0</v>
      </c>
      <c r="AG20" s="76">
        <f>SUM(C_4_against)</f>
        <v>0</v>
      </c>
      <c r="AH20" s="76">
        <f>AF20-AG20</f>
        <v>0</v>
      </c>
      <c r="AI20" s="76">
        <f>AC20*3+AE20*1</f>
        <v>0</v>
      </c>
      <c r="AK20" s="50" t="str">
        <f>IF(AA20=AK$17,AA$17,AA20)</f>
        <v>Италия</v>
      </c>
      <c r="AL20" s="50">
        <f>VLOOKUP(AK20,$AA$5:$AI$26,9,FALSE)</f>
        <v>0</v>
      </c>
      <c r="AM20" s="50" t="str">
        <f>IF(AK20=AM$18,AK$18,AK20)</f>
        <v>Италия</v>
      </c>
      <c r="AN20" s="50">
        <f t="shared" si="4"/>
        <v>0</v>
      </c>
      <c r="AO20" s="50" t="str">
        <f>IF(AM20=AO19,AM19,AM20)</f>
        <v>Италия</v>
      </c>
      <c r="AP20" s="50">
        <f t="shared" si="4"/>
        <v>0</v>
      </c>
      <c r="AQ20" s="50">
        <f t="shared" si="2"/>
        <v>0</v>
      </c>
      <c r="AS20" s="50" t="str">
        <f>IF(AO20=$AS$17,$AO$17,AO20)</f>
        <v>Италия</v>
      </c>
      <c r="AT20" s="50">
        <f>VLOOKUP(AS20,$AA$5:$AI$26,9,FALSE)</f>
        <v>0</v>
      </c>
      <c r="AU20" s="50">
        <f>VLOOKUP(AS20,$AA$5:$AI$26,8,FALSE)</f>
        <v>0</v>
      </c>
      <c r="AV20" s="50" t="str">
        <f>IF(AS20=AV$18,AS$18,AS20)</f>
        <v>Италия</v>
      </c>
      <c r="AW20" s="50">
        <f>VLOOKUP(AV20,$AA$5:$AI$26,9,FALSE)</f>
        <v>0</v>
      </c>
      <c r="AX20" s="50">
        <f>VLOOKUP(AV20,$AA$5:$AI$26,8,FALSE)</f>
        <v>0</v>
      </c>
      <c r="AY20" s="50" t="str">
        <f>IF(AV20=AY19,AV19,AV20)</f>
        <v>Италия</v>
      </c>
      <c r="AZ20" s="50">
        <f>VLOOKUP(AY20,$AA$5:$AI$26,9,FALSE)</f>
        <v>0</v>
      </c>
      <c r="BA20" s="50">
        <f>VLOOKUP(AY20,$AA$5:$AI$26,8,FALSE)</f>
        <v>0</v>
      </c>
      <c r="BB20" s="50">
        <v>4</v>
      </c>
      <c r="BC20" s="50">
        <f>VLOOKUP(AY20,$AA$5:$AI$26,6,FALSE)</f>
        <v>0</v>
      </c>
      <c r="BE20" s="50" t="str">
        <f>IF(AY20=BE$17,AY$17,AY20)</f>
        <v>Италия</v>
      </c>
      <c r="BF20" s="50">
        <f>VLOOKUP(BE20,$AA$5:$AI$26,9,FALSE)</f>
        <v>0</v>
      </c>
      <c r="BG20" s="50">
        <f>VLOOKUP(BE20,$AA$5:$AI$26,6,FALSE)</f>
        <v>0</v>
      </c>
      <c r="BH20" s="50" t="str">
        <f>IF(BE20=BH$18,BE$18,BE20)</f>
        <v>Италия</v>
      </c>
      <c r="BI20" s="50">
        <f>VLOOKUP(BH20,$AA$5:$AI$26,9,FALSE)</f>
        <v>0</v>
      </c>
      <c r="BJ20" s="50">
        <f>VLOOKUP(BH20,$AA$5:$AI$26,6,FALSE)</f>
        <v>0</v>
      </c>
      <c r="BK20" s="50" t="str">
        <f>IF(BH20=BK19,BH19,BH20)</f>
        <v>Италия</v>
      </c>
      <c r="BL20" s="50">
        <f>VLOOKUP(BK20,$AA$5:$AI$26,9,FALSE)</f>
        <v>0</v>
      </c>
      <c r="BM20" s="50">
        <f>VLOOKUP(BK20,$AA$5:$AI$26,6,FALSE)</f>
        <v>0</v>
      </c>
      <c r="BN20" s="50">
        <v>4</v>
      </c>
      <c r="BP20" s="50" t="str">
        <f>IF(AO20=BP$17,AO$17,AO20)</f>
        <v>Италия</v>
      </c>
      <c r="BQ20" s="50">
        <f>VLOOKUP(BP20,$AA$5:$AI$26,9,FALSE)</f>
        <v>0</v>
      </c>
      <c r="BR20" s="50">
        <f>VLOOKUP(BP20,$AA$5:$AI$26,8,FALSE)</f>
        <v>0</v>
      </c>
      <c r="BS20" s="50" t="str">
        <f>IF(BP20=BS$18,BP$18,BP20)</f>
        <v>Италия</v>
      </c>
      <c r="BT20" s="50">
        <f>VLOOKUP(BS20,$AA$5:$AI$26,9,FALSE)</f>
        <v>0</v>
      </c>
      <c r="BU20" s="50">
        <f>VLOOKUP(BS20,$AA$5:$AI$26,8,FALSE)</f>
        <v>0</v>
      </c>
      <c r="BV20" s="50" t="str">
        <f>IF(BS20=BV19,BS19,BS20)</f>
        <v>Италия</v>
      </c>
      <c r="BW20" s="50">
        <f>VLOOKUP(BV20,$AA$5:$AI$26,9,FALSE)</f>
        <v>0</v>
      </c>
      <c r="BX20" s="50">
        <f>VLOOKUP(BV20,$AA$5:$AI$26,8,FALSE)</f>
        <v>0</v>
      </c>
      <c r="BY20" s="50">
        <f>VLOOKUP(BV20,$AA$5:$AI$26,6,FALSE)</f>
        <v>0</v>
      </c>
      <c r="CA20" s="50" t="str">
        <f>IF(BV20=CA$17,BV$17,BV20)</f>
        <v>Италия</v>
      </c>
      <c r="CB20" s="50">
        <f>VLOOKUP(CA20,$AA$5:$AI$26,9,FALSE)</f>
        <v>0</v>
      </c>
      <c r="CC20" s="50">
        <f>VLOOKUP(CA20,$AA$5:$AI$26,8,FALSE)</f>
        <v>0</v>
      </c>
      <c r="CD20" s="50">
        <f>VLOOKUP(CA20,$AA$5:$AI$26,6,FALSE)</f>
        <v>0</v>
      </c>
      <c r="CE20" s="50" t="str">
        <f>IF(CA20=CE$18,CA$18,CA20)</f>
        <v>Италия</v>
      </c>
      <c r="CF20" s="50">
        <f>VLOOKUP(CE20,$AA$5:$AI$26,9,FALSE)</f>
        <v>0</v>
      </c>
      <c r="CG20" s="50">
        <f>VLOOKUP(CE20,$AA$5:$AI$26,8,FALSE)</f>
        <v>0</v>
      </c>
      <c r="CH20" s="50">
        <f>VLOOKUP(CE20,$AA$5:$AI$26,6,FALSE)</f>
        <v>0</v>
      </c>
      <c r="CI20" s="68" t="str">
        <f>IF(CE20=CI19,CE19,CE20)</f>
        <v>Италия</v>
      </c>
      <c r="CJ20" s="68">
        <f>VLOOKUP(CI20,$AA$5:$AI$26,9,FALSE)</f>
        <v>0</v>
      </c>
      <c r="CK20" s="68">
        <f>VLOOKUP(CI20,$AA$5:$AI$26,8,FALSE)</f>
        <v>0</v>
      </c>
      <c r="CL20" s="68">
        <f>VLOOKUP(CI20,$AA$5:$AI$26,6,FALSE)</f>
        <v>0</v>
      </c>
      <c r="CN20" s="50" t="str">
        <f>CI20</f>
        <v>Италия</v>
      </c>
      <c r="CO20" s="50" t="str">
        <f>CI20</f>
        <v>Италия</v>
      </c>
      <c r="CP20" s="50" t="str">
        <f>CI20</f>
        <v>Италия</v>
      </c>
      <c r="CQ20" s="50" t="str">
        <f>CI20</f>
        <v>Италия</v>
      </c>
      <c r="CR20" s="50" t="str">
        <f>CQ20</f>
        <v>Италия</v>
      </c>
      <c r="CS20" s="50" t="str">
        <f>General_MA!CP19</f>
        <v>Дания</v>
      </c>
      <c r="CU20" s="50" t="str">
        <f>IF(OR(AP20=AP21,AP20=AP19),"X","")</f>
        <v>X</v>
      </c>
      <c r="CV20" s="50">
        <f>IF(CU20="x",IF(AP20=AP21,"y",""),"")</f>
      </c>
      <c r="CX20" s="50" t="str">
        <f>IF(CU20="x",AO20,"")</f>
        <v>Италия</v>
      </c>
      <c r="DB20" s="50">
        <f>IF(AND(CU$21=4,CV$21=2),CX20,IF(CX20="",CI20,""))</f>
      </c>
    </row>
    <row r="21" spans="2:105" ht="11.25">
      <c r="B21" s="59" t="s">
        <v>17</v>
      </c>
      <c r="C21" s="60">
        <v>0.8229166666666666</v>
      </c>
      <c r="D21" s="59" t="s">
        <v>127</v>
      </c>
      <c r="E21" s="61" t="s">
        <v>37</v>
      </c>
      <c r="F21" s="45" t="s">
        <v>36</v>
      </c>
      <c r="G21" s="45" t="s">
        <v>38</v>
      </c>
      <c r="H21" s="46" t="str">
        <f>VLOOKUP(F21,Teams!$A$2:$B$17,2,FALSE)</f>
        <v>Хорватия</v>
      </c>
      <c r="I21" s="46" t="str">
        <f>VLOOKUP(G21,Teams!$A$2:$B$17,2,FALSE)</f>
        <v>Англия</v>
      </c>
      <c r="J21" s="33"/>
      <c r="K21" s="33"/>
      <c r="L21" s="50">
        <f t="shared" si="0"/>
      </c>
      <c r="M21" s="50">
        <f t="shared" si="1"/>
      </c>
      <c r="O21" s="38" t="s">
        <v>148</v>
      </c>
      <c r="P21" s="39"/>
      <c r="Q21" s="39"/>
      <c r="R21" s="39"/>
      <c r="S21" s="39"/>
      <c r="T21" s="39"/>
      <c r="U21" s="39"/>
      <c r="V21" s="39"/>
      <c r="W21" s="78"/>
      <c r="AA21" s="65" t="s">
        <v>107</v>
      </c>
      <c r="AB21" s="66"/>
      <c r="AC21" s="66"/>
      <c r="AD21" s="66"/>
      <c r="AE21" s="66"/>
      <c r="AF21" s="66"/>
      <c r="AG21" s="66"/>
      <c r="AH21" s="66"/>
      <c r="AI21" s="66"/>
      <c r="AP21" s="50" t="s">
        <v>75</v>
      </c>
      <c r="CI21" s="68"/>
      <c r="CJ21" s="68"/>
      <c r="CK21" s="68"/>
      <c r="CL21" s="68"/>
      <c r="CU21" s="50">
        <f>COUNTIF(CU17:CU20,"X")</f>
        <v>4</v>
      </c>
      <c r="CV21" s="50">
        <f>COUNTIF(CV17:CV20,"y")</f>
        <v>3</v>
      </c>
      <c r="CX21" s="50">
        <f>COUNTIF(CU17:CU20,"X")</f>
        <v>4</v>
      </c>
      <c r="CY21" s="50" t="b">
        <f>OR(CU21=2,AND(CU21=4,CV21&lt;3))</f>
        <v>0</v>
      </c>
      <c r="CZ21" s="50" t="str">
        <f>IF(CJ18=CJ19,"NO","YES")</f>
        <v>NO</v>
      </c>
      <c r="DA21" s="50">
        <f>IF(AND(CY21=TRUE,CZ21="YES"),2,4-COUNTIF(CX17:CX20,""))</f>
        <v>4</v>
      </c>
    </row>
    <row r="22" spans="2:97" ht="11.25">
      <c r="B22" s="59" t="s">
        <v>17</v>
      </c>
      <c r="C22" s="60">
        <v>0.8229166666666666</v>
      </c>
      <c r="D22" s="59" t="s">
        <v>126</v>
      </c>
      <c r="E22" s="61" t="s">
        <v>37</v>
      </c>
      <c r="F22" s="45" t="s">
        <v>47</v>
      </c>
      <c r="G22" s="45" t="s">
        <v>48</v>
      </c>
      <c r="H22" s="46" t="str">
        <f>VLOOKUP(F22,Teams!$A$2:$B$17,2,FALSE)</f>
        <v>Швейцария</v>
      </c>
      <c r="I22" s="46" t="str">
        <f>VLOOKUP(G22,Teams!$A$2:$B$17,2,FALSE)</f>
        <v>Франция</v>
      </c>
      <c r="J22" s="33"/>
      <c r="K22" s="33"/>
      <c r="L22" s="50">
        <f t="shared" si="0"/>
      </c>
      <c r="M22" s="50">
        <f t="shared" si="1"/>
      </c>
      <c r="O22" s="40"/>
      <c r="P22" s="71" t="s">
        <v>139</v>
      </c>
      <c r="Q22" s="71" t="s">
        <v>140</v>
      </c>
      <c r="R22" s="71" t="s">
        <v>141</v>
      </c>
      <c r="S22" s="71" t="s">
        <v>140</v>
      </c>
      <c r="T22" s="71" t="s">
        <v>142</v>
      </c>
      <c r="U22" s="71" t="s">
        <v>143</v>
      </c>
      <c r="V22" s="71" t="s">
        <v>144</v>
      </c>
      <c r="W22" s="72" t="s">
        <v>145</v>
      </c>
      <c r="AA22" s="49"/>
      <c r="AB22" s="73" t="s">
        <v>65</v>
      </c>
      <c r="AC22" s="73" t="s">
        <v>66</v>
      </c>
      <c r="AD22" s="73" t="s">
        <v>67</v>
      </c>
      <c r="AE22" s="73" t="s">
        <v>43</v>
      </c>
      <c r="AF22" s="73" t="s">
        <v>68</v>
      </c>
      <c r="AG22" s="73" t="s">
        <v>34</v>
      </c>
      <c r="AH22" s="73" t="s">
        <v>69</v>
      </c>
      <c r="AI22" s="73" t="s">
        <v>70</v>
      </c>
      <c r="CI22" s="68"/>
      <c r="CJ22" s="68"/>
      <c r="CK22" s="68"/>
      <c r="CL22" s="68"/>
      <c r="CN22" s="50" t="str">
        <f>IF(COUNTIF(CU23:CU24,"x")=0,"YES","NO")</f>
        <v>NO</v>
      </c>
      <c r="CO22" s="50" t="str">
        <f>IF(AND(CU23="X",CU24="X",CV24&lt;&gt;"Y"),"YES","NO")</f>
        <v>NO</v>
      </c>
      <c r="CP22" s="50" t="str">
        <f>IF(AND(CU23="X",CU24="X",CU25="X",CU26&lt;&gt;"X"),"YES","NO")</f>
        <v>NO</v>
      </c>
      <c r="CQ22" s="50" t="str">
        <f>IF(AND(CU27=4,CV27=3),"YES","NO")</f>
        <v>YES</v>
      </c>
      <c r="CR22" s="50" t="str">
        <f>IF(AND(CU24="X",CU25="X",CU26="",CU23=""),"YES","NO")</f>
        <v>NO</v>
      </c>
      <c r="CS22" s="50" t="str">
        <f>IF(AND(CU24="X",CU25="X",CU26="X",CU23=""),"YES","NO")</f>
        <v>NO</v>
      </c>
    </row>
    <row r="23" spans="2:106" ht="11.25">
      <c r="B23" s="59" t="s">
        <v>18</v>
      </c>
      <c r="C23" s="60">
        <v>0.8229166666666666</v>
      </c>
      <c r="D23" s="59" t="s">
        <v>7</v>
      </c>
      <c r="E23" s="61" t="s">
        <v>40</v>
      </c>
      <c r="F23" s="45" t="s">
        <v>39</v>
      </c>
      <c r="G23" s="45" t="s">
        <v>41</v>
      </c>
      <c r="H23" s="46" t="str">
        <f>VLOOKUP(F23,Teams!$A$2:$B$17,2,FALSE)</f>
        <v>Италия</v>
      </c>
      <c r="I23" s="46" t="str">
        <f>VLOOKUP(G23,Teams!$A$2:$B$17,2,FALSE)</f>
        <v>Болгария</v>
      </c>
      <c r="J23" s="33"/>
      <c r="K23" s="33"/>
      <c r="L23" s="50">
        <f t="shared" si="0"/>
      </c>
      <c r="M23" s="50">
        <f t="shared" si="1"/>
      </c>
      <c r="O23" s="41" t="str">
        <f>HLOOKUP("YES",$CN$22:$CS$26,2,FALSE)</f>
        <v>Чехия</v>
      </c>
      <c r="P23" s="42">
        <f>VLOOKUP($O23,$AA$5:$AI$26,2,FALSE)</f>
        <v>0</v>
      </c>
      <c r="Q23" s="42">
        <f>VLOOKUP($O23,$AA$5:$AI$26,3,FALSE)</f>
        <v>0</v>
      </c>
      <c r="R23" s="42">
        <f>VLOOKUP($O23,$AA$5:$AI$26,4,FALSE)</f>
        <v>0</v>
      </c>
      <c r="S23" s="42">
        <f>VLOOKUP($O23,$AA$5:$AI$26,5,FALSE)</f>
        <v>0</v>
      </c>
      <c r="T23" s="42">
        <f>VLOOKUP($O23,$AA$5:$AI$26,6,FALSE)</f>
        <v>0</v>
      </c>
      <c r="U23" s="42">
        <f>VLOOKUP($O23,$AA$5:$AI$26,7,FALSE)</f>
        <v>0</v>
      </c>
      <c r="V23" s="42">
        <f>VLOOKUP($O23,$AA$5:$AI$26,8,FALSE)</f>
        <v>0</v>
      </c>
      <c r="W23" s="79">
        <f>VLOOKUP($O23,$AA$5:$AI$26,9,FALSE)</f>
        <v>0</v>
      </c>
      <c r="Z23" s="75" t="str">
        <f>Teams!A14</f>
        <v>D1</v>
      </c>
      <c r="AA23" s="75" t="str">
        <f>Teams!B14</f>
        <v>Чехия</v>
      </c>
      <c r="AB23" s="50">
        <f>MAX(COUNT(D1_Pld),COUNT(D1_against))</f>
        <v>0</v>
      </c>
      <c r="AC23" s="76">
        <f>COUNTIF($L$3:$L$26,AA23)</f>
        <v>0</v>
      </c>
      <c r="AD23" s="76">
        <f>COUNTIF($M$3:$M$26,AA23)</f>
        <v>0</v>
      </c>
      <c r="AE23" s="76">
        <f>AB23-AC23-AD23</f>
        <v>0</v>
      </c>
      <c r="AF23" s="76">
        <f>SUM(D1_Pld)</f>
        <v>0</v>
      </c>
      <c r="AG23" s="76">
        <f>SUM(D1_against)</f>
        <v>0</v>
      </c>
      <c r="AH23" s="76">
        <f>AF23-AG23</f>
        <v>0</v>
      </c>
      <c r="AI23" s="76">
        <f>AC23*3+AE23*1</f>
        <v>0</v>
      </c>
      <c r="AK23" s="50" t="str">
        <f>IF(AI23&gt;=AI24,IF(AI23&gt;=AI25,IF(AI23&gt;=AI26,AA23,AA26),IF(AI25&gt;=AI24,IF(AI25&gt;=AI26,AA25,AA26),IF(AI24&gt;=AI26,AA24,AA26))),IF(AI24&gt;=AI25,IF(AI24&gt;=AI26,AA24,AA26),IF(AI25&gt;=AI26,AA25,AA26)))</f>
        <v>Чехия</v>
      </c>
      <c r="AL23" s="50">
        <f>VLOOKUP(AK23,$AA$5:$AI$26,9,FALSE)</f>
        <v>0</v>
      </c>
      <c r="AM23" s="50" t="str">
        <f>AK23</f>
        <v>Чехия</v>
      </c>
      <c r="AN23" s="50">
        <f>VLOOKUP(AM23,$AA$5:$AI$26,9,FALSE)</f>
        <v>0</v>
      </c>
      <c r="AO23" s="50" t="str">
        <f>AM23</f>
        <v>Чехия</v>
      </c>
      <c r="AP23" s="50">
        <f>VLOOKUP(AO23,$AA$5:$AI$26,9,FALSE)</f>
        <v>0</v>
      </c>
      <c r="AQ23" s="50">
        <f t="shared" si="2"/>
        <v>0</v>
      </c>
      <c r="AS23" s="50" t="str">
        <f>IF(AQ23&gt;=AQ24,IF(AQ23&gt;=AQ25,IF(AQ23&gt;=AQ26,AO23,AO26),IF(AQ25&gt;=AQ24,IF(AQ25&gt;=AQ26,AO25,AO26),IF(AQ24&gt;=AQ26,AO24,AO26))),IF(AQ24&gt;=AQ25,IF(AQ24&gt;=AQ26,AO24,AO26),IF(AQ25&gt;=AQ26,AO25,AO26)))</f>
        <v>Чехия</v>
      </c>
      <c r="AT23" s="50">
        <f>VLOOKUP(AS23,$AA$5:$AI$26,9,FALSE)</f>
        <v>0</v>
      </c>
      <c r="AU23" s="50">
        <f>VLOOKUP(AS23,$AA$5:$AI$26,8,FALSE)</f>
        <v>0</v>
      </c>
      <c r="AV23" s="50" t="str">
        <f>AS23</f>
        <v>Чехия</v>
      </c>
      <c r="AW23" s="50">
        <f>VLOOKUP(AV23,$AA$5:$AI$26,9,FALSE)</f>
        <v>0</v>
      </c>
      <c r="AX23" s="50">
        <f>VLOOKUP(AV23,$AA$5:$AI$26,8,FALSE)</f>
        <v>0</v>
      </c>
      <c r="AY23" s="50" t="str">
        <f>AV23</f>
        <v>Чехия</v>
      </c>
      <c r="AZ23" s="50">
        <f>VLOOKUP(AY23,$AA$5:$AI$26,9,FALSE)</f>
        <v>0</v>
      </c>
      <c r="BA23" s="50">
        <f>VLOOKUP(AY23,$AA$5:$AI$26,8,FALSE)</f>
        <v>0</v>
      </c>
      <c r="BB23" s="50">
        <v>1</v>
      </c>
      <c r="BC23" s="50">
        <f>VLOOKUP(AY23,$AA$5:$AI$26,6,FALSE)</f>
        <v>0</v>
      </c>
      <c r="BE23" s="50" t="str">
        <f>IF(BC23&gt;=BC24,IF(BC23&gt;=BC25,IF(BC23&gt;=BC26,AY23,AY26),IF(BC25&gt;=BC24,IF(BC25&gt;=BC26,AY25,AY26),IF(BC24&gt;=BC26,AY24,AY26))),IF(BC24&gt;=BC25,IF(BC24&gt;=BC26,AY24,AY26),IF(BC25&gt;=BC26,AY25,AY26)))</f>
        <v>Чехия</v>
      </c>
      <c r="BF23" s="50">
        <f>VLOOKUP(BE23,$AA$5:$AI$26,9,FALSE)</f>
        <v>0</v>
      </c>
      <c r="BG23" s="50">
        <f>VLOOKUP(BE23,$AA$5:$AI$26,6,FALSE)</f>
        <v>0</v>
      </c>
      <c r="BH23" s="50" t="str">
        <f>BE23</f>
        <v>Чехия</v>
      </c>
      <c r="BI23" s="50">
        <f>VLOOKUP(BH23,$AA$5:$AI$26,9,FALSE)</f>
        <v>0</v>
      </c>
      <c r="BJ23" s="50">
        <f>VLOOKUP(BH23,$AA$5:$AI$26,6,FALSE)</f>
        <v>0</v>
      </c>
      <c r="BK23" s="50" t="str">
        <f>BH23</f>
        <v>Чехия</v>
      </c>
      <c r="BL23" s="50">
        <f>VLOOKUP(BK23,$AA$5:$AI$26,9,FALSE)</f>
        <v>0</v>
      </c>
      <c r="BM23" s="50">
        <f>VLOOKUP(BK23,$AA$5:$AI$26,6,FALSE)</f>
        <v>0</v>
      </c>
      <c r="BN23" s="50">
        <v>1</v>
      </c>
      <c r="BP23" s="50" t="str">
        <f>IF(AP23=AP24,IF(AP23=AP25,IF(AP23=AP26,AY23,IF(AQ23&gt;=AQ24,IF(AQ23&gt;=AQ25,AO23,AO25),IF(AQ24&gt;=AQ25,AO24,AO25))),IF(AQ23&gt;=AQ24,AO23,AO24)),AO23)</f>
        <v>Чехия</v>
      </c>
      <c r="BQ23" s="50">
        <f>VLOOKUP(BP23,$AA$5:$AI$26,9,FALSE)</f>
        <v>0</v>
      </c>
      <c r="BR23" s="50">
        <f>VLOOKUP(BP23,$AA$5:$AI$26,8,FALSE)</f>
        <v>0</v>
      </c>
      <c r="BS23" s="50" t="str">
        <f>BP23</f>
        <v>Чехия</v>
      </c>
      <c r="BT23" s="50">
        <f>VLOOKUP(BS23,$AA$5:$AI$26,9,FALSE)</f>
        <v>0</v>
      </c>
      <c r="BU23" s="50">
        <f>VLOOKUP(BS23,$AA$5:$AI$26,8,FALSE)</f>
        <v>0</v>
      </c>
      <c r="BV23" s="50" t="str">
        <f>BS23</f>
        <v>Чехия</v>
      </c>
      <c r="BW23" s="50">
        <f>VLOOKUP(BV23,$AA$5:$AI$26,9,FALSE)</f>
        <v>0</v>
      </c>
      <c r="BX23" s="50">
        <f>VLOOKUP(BV23,$AA$5:$AI$26,8,FALSE)</f>
        <v>0</v>
      </c>
      <c r="BY23" s="50">
        <f>VLOOKUP(BV23,$AA$5:$AI$26,6,FALSE)</f>
        <v>0</v>
      </c>
      <c r="CA23" s="50" t="str">
        <f>IF(AND(BW23=BW24,BX23=BX24),IF(AND(BW23=BW25,BX23=BX25),IF(AND(BW23=BW26,BX23=BX26),BK23,IF(BY23&gt;=BY24,IF(BY23&gt;=BY25,BV23,BV25),IF(BY24&gt;=BY25,BV24,BV25))),IF(BY23&gt;=BY24,BV23,BV24)),BV23)</f>
        <v>Чехия</v>
      </c>
      <c r="CB23" s="50">
        <f>VLOOKUP(CA23,$AA$5:$AI$26,9,FALSE)</f>
        <v>0</v>
      </c>
      <c r="CC23" s="50">
        <f>VLOOKUP(CA23,$AA$5:$AI$26,8,FALSE)</f>
        <v>0</v>
      </c>
      <c r="CD23" s="50">
        <f>VLOOKUP(CA23,$AA$5:$AI$26,6,FALSE)</f>
        <v>0</v>
      </c>
      <c r="CE23" s="50" t="str">
        <f>CA23</f>
        <v>Чехия</v>
      </c>
      <c r="CF23" s="50">
        <f>VLOOKUP(CE23,$AA$5:$AI$26,9,FALSE)</f>
        <v>0</v>
      </c>
      <c r="CG23" s="50">
        <f>VLOOKUP(CE23,$AA$5:$AI$26,8,FALSE)</f>
        <v>0</v>
      </c>
      <c r="CH23" s="50">
        <f>VLOOKUP(CE23,$AA$5:$AI$26,6,FALSE)</f>
        <v>0</v>
      </c>
      <c r="CI23" s="68" t="str">
        <f>CE23</f>
        <v>Чехия</v>
      </c>
      <c r="CJ23" s="68">
        <f>VLOOKUP(CI23,$AA$5:$AI$26,9,FALSE)</f>
        <v>0</v>
      </c>
      <c r="CK23" s="68">
        <f>VLOOKUP(CI23,$AA$5:$AI$26,8,FALSE)</f>
        <v>0</v>
      </c>
      <c r="CL23" s="68">
        <f>VLOOKUP(CI23,$AA$5:$AI$26,6,FALSE)</f>
        <v>0</v>
      </c>
      <c r="CN23" s="50" t="str">
        <f>CI23</f>
        <v>Чехия</v>
      </c>
      <c r="CO23" s="50" t="str">
        <f>General_MA!CP23</f>
        <v>Чехия</v>
      </c>
      <c r="CP23" s="50" t="str">
        <f>General_MA!CP23</f>
        <v>Чехия</v>
      </c>
      <c r="CQ23" s="50" t="str">
        <f>CI23</f>
        <v>Чехия</v>
      </c>
      <c r="CR23" s="50" t="str">
        <f>CI23</f>
        <v>Чехия</v>
      </c>
      <c r="CS23" s="50" t="str">
        <f>CR23</f>
        <v>Чехия</v>
      </c>
      <c r="CU23" s="50" t="str">
        <f>IF(OR(AP23=AP24,AP23=AP22),"X","")</f>
        <v>X</v>
      </c>
      <c r="CV23" s="50" t="str">
        <f>IF(CU23="x",IF(AP23=AP24,"y",""),"")</f>
        <v>y</v>
      </c>
      <c r="CX23" s="50" t="str">
        <f>IF(CU23="x",AO23,"")</f>
        <v>Чехия</v>
      </c>
      <c r="DB23" s="50">
        <f>IF(CX23="",CI23,"")</f>
      </c>
    </row>
    <row r="24" spans="2:106" ht="11.25">
      <c r="B24" s="59" t="s">
        <v>18</v>
      </c>
      <c r="C24" s="60">
        <v>0.8229166666666666</v>
      </c>
      <c r="D24" s="59" t="s">
        <v>125</v>
      </c>
      <c r="E24" s="61" t="s">
        <v>40</v>
      </c>
      <c r="F24" s="45" t="s">
        <v>49</v>
      </c>
      <c r="G24" s="45" t="s">
        <v>50</v>
      </c>
      <c r="H24" s="46" t="str">
        <f>VLOOKUP(F24,Teams!$A$2:$B$17,2,FALSE)</f>
        <v>Дания</v>
      </c>
      <c r="I24" s="46" t="str">
        <f>VLOOKUP(G24,Teams!$A$2:$B$17,2,FALSE)</f>
        <v>Швеция</v>
      </c>
      <c r="J24" s="33"/>
      <c r="K24" s="33"/>
      <c r="L24" s="50">
        <f t="shared" si="0"/>
      </c>
      <c r="M24" s="50">
        <f t="shared" si="1"/>
      </c>
      <c r="O24" s="41" t="str">
        <f>HLOOKUP("YES",$CN$22:$CS$26,3,FALSE)</f>
        <v>Латвия</v>
      </c>
      <c r="P24" s="42">
        <f>VLOOKUP($O24,$AA$5:$AI$26,2,FALSE)</f>
        <v>0</v>
      </c>
      <c r="Q24" s="42">
        <f>VLOOKUP($O24,$AA$5:$AI$26,3,FALSE)</f>
        <v>0</v>
      </c>
      <c r="R24" s="42">
        <f>VLOOKUP($O24,$AA$5:$AI$26,4,FALSE)</f>
        <v>0</v>
      </c>
      <c r="S24" s="42">
        <f>VLOOKUP($O24,$AA$5:$AI$26,5,FALSE)</f>
        <v>0</v>
      </c>
      <c r="T24" s="42">
        <f>VLOOKUP($O24,$AA$5:$AI$26,6,FALSE)</f>
        <v>0</v>
      </c>
      <c r="U24" s="42">
        <f>VLOOKUP($O24,$AA$5:$AI$26,7,FALSE)</f>
        <v>0</v>
      </c>
      <c r="V24" s="42">
        <f>VLOOKUP($O24,$AA$5:$AI$26,8,FALSE)</f>
        <v>0</v>
      </c>
      <c r="W24" s="79">
        <f>VLOOKUP($O24,$AA$5:$AI$26,9,FALSE)</f>
        <v>0</v>
      </c>
      <c r="Z24" s="75" t="str">
        <f>Teams!A15</f>
        <v>D2</v>
      </c>
      <c r="AA24" s="75" t="str">
        <f>Teams!B15</f>
        <v>Латвия</v>
      </c>
      <c r="AB24" s="50">
        <f>MAX(COUNT(D2_Pld),COUNT(D2_against))</f>
        <v>0</v>
      </c>
      <c r="AC24" s="76">
        <f>COUNTIF($L$3:$L$26,AA24)</f>
        <v>0</v>
      </c>
      <c r="AD24" s="76">
        <f>COUNTIF($M$3:$M$26,AA24)</f>
        <v>0</v>
      </c>
      <c r="AE24" s="76">
        <f>AB24-AC24-AD24</f>
        <v>0</v>
      </c>
      <c r="AF24" s="76">
        <f>SUM(D2_Pld)</f>
        <v>0</v>
      </c>
      <c r="AG24" s="76">
        <f>SUM(D2_against)</f>
        <v>0</v>
      </c>
      <c r="AH24" s="76">
        <f>AF24-AG24</f>
        <v>0</v>
      </c>
      <c r="AI24" s="76">
        <f>AC24*3+AE24*1</f>
        <v>0</v>
      </c>
      <c r="AK24" s="50" t="str">
        <f>IF(AA24=AK$23,AA$23,AA24)</f>
        <v>Латвия</v>
      </c>
      <c r="AL24" s="50">
        <f>VLOOKUP(AK24,$AA$5:$AI$26,9,FALSE)</f>
        <v>0</v>
      </c>
      <c r="AM24" s="50" t="str">
        <f>IF(AL24&gt;=AL25,IF(AL24&gt;=AL26,AK24,AK26),IF(AL25&gt;=AL26,AK25,AK26))</f>
        <v>Латвия</v>
      </c>
      <c r="AN24" s="50">
        <f aca="true" t="shared" si="5" ref="AN24:AP26">VLOOKUP(AM24,$AA$5:$AI$26,9,FALSE)</f>
        <v>0</v>
      </c>
      <c r="AO24" s="50" t="str">
        <f>IF(AN24&gt;=AN25,IF(AN24&gt;=AN26,AM24,AM26),IF(AN25&gt;=AN26,AM25,AM26))</f>
        <v>Латвия</v>
      </c>
      <c r="AP24" s="50">
        <f t="shared" si="5"/>
        <v>0</v>
      </c>
      <c r="AQ24" s="50">
        <f t="shared" si="2"/>
        <v>0</v>
      </c>
      <c r="AS24" s="50" t="str">
        <f>IF(AO24=$AS$23,$AO$23,AO24)</f>
        <v>Латвия</v>
      </c>
      <c r="AT24" s="50">
        <f>VLOOKUP(AS24,$AA$5:$AI$26,9,FALSE)</f>
        <v>0</v>
      </c>
      <c r="AU24" s="50">
        <f>VLOOKUP(AS24,$AA$5:$AI$26,8,FALSE)</f>
        <v>0</v>
      </c>
      <c r="AV24" s="50" t="str">
        <f>IF(AU24&gt;=AU25,IF(AU24&gt;=AU26,AS24,AS26),IF(AU25&gt;=AU26,AS25,AS26))</f>
        <v>Латвия</v>
      </c>
      <c r="AW24" s="50">
        <f>VLOOKUP(AV24,$AA$5:$AI$26,9,FALSE)</f>
        <v>0</v>
      </c>
      <c r="AX24" s="50">
        <f>VLOOKUP(AV24,$AA$5:$AI$26,8,FALSE)</f>
        <v>0</v>
      </c>
      <c r="AY24" s="50" t="str">
        <f>AV24</f>
        <v>Латвия</v>
      </c>
      <c r="AZ24" s="50">
        <f>VLOOKUP(AY24,$AA$5:$AI$26,9,FALSE)</f>
        <v>0</v>
      </c>
      <c r="BA24" s="50">
        <f>VLOOKUP(AY24,$AA$5:$AI$26,8,FALSE)</f>
        <v>0</v>
      </c>
      <c r="BB24" s="50">
        <v>2</v>
      </c>
      <c r="BC24" s="50">
        <f>VLOOKUP(AY24,$AA$5:$AI$26,6,FALSE)</f>
        <v>0</v>
      </c>
      <c r="BE24" s="50" t="str">
        <f>IF(AY24=BE$23,AY$17,AY24)</f>
        <v>Латвия</v>
      </c>
      <c r="BF24" s="50">
        <f>VLOOKUP(BE24,$AA$5:$AI$26,9,FALSE)</f>
        <v>0</v>
      </c>
      <c r="BG24" s="50">
        <f>VLOOKUP(BE24,$AA$5:$AI$26,6,FALSE)</f>
        <v>0</v>
      </c>
      <c r="BH24" s="50" t="str">
        <f>IF(BG24&gt;=BG25,IF(BG24&gt;=BG26,BE24,BE26),IF(BG25&gt;=BG26,BE25,BE26))</f>
        <v>Латвия</v>
      </c>
      <c r="BI24" s="50">
        <f>VLOOKUP(BH24,$AA$5:$AI$26,9,FALSE)</f>
        <v>0</v>
      </c>
      <c r="BJ24" s="50">
        <f>VLOOKUP(BH24,$AA$5:$AI$26,6,FALSE)</f>
        <v>0</v>
      </c>
      <c r="BK24" s="50" t="str">
        <f>BH24</f>
        <v>Латвия</v>
      </c>
      <c r="BL24" s="50">
        <f>VLOOKUP(BK24,$AA$5:$AI$26,9,FALSE)</f>
        <v>0</v>
      </c>
      <c r="BM24" s="50">
        <f>VLOOKUP(BK24,$AA$5:$AI$26,6,FALSE)</f>
        <v>0</v>
      </c>
      <c r="BN24" s="50">
        <v>2</v>
      </c>
      <c r="BP24" s="50" t="str">
        <f>IF(AO24=BP$23,AO$23,AO24)</f>
        <v>Латвия</v>
      </c>
      <c r="BQ24" s="50">
        <f>VLOOKUP(BP24,$AA$5:$AI$26,9,FALSE)</f>
        <v>0</v>
      </c>
      <c r="BR24" s="50">
        <f>VLOOKUP(BP24,$AA$5:$AI$26,8,FALSE)</f>
        <v>0</v>
      </c>
      <c r="BS24" s="50" t="str">
        <f>IF(BQ24=BQ25,IF(BQ24=BQ26,IF(BR24&gt;=BR25,IF(BR24&gt;=BR26,BP24,BP26),IF(BR25&gt;=BR26,BP25,BP26)),IF(BR24&gt;=BR25,BP24,BP25)),BP24)</f>
        <v>Латвия</v>
      </c>
      <c r="BT24" s="50">
        <f>VLOOKUP(BS24,$AA$5:$AI$26,9,FALSE)</f>
        <v>0</v>
      </c>
      <c r="BU24" s="50">
        <f>VLOOKUP(BS24,$AA$5:$AI$26,8,FALSE)</f>
        <v>0</v>
      </c>
      <c r="BV24" s="50" t="str">
        <f>BS24</f>
        <v>Латвия</v>
      </c>
      <c r="BW24" s="50">
        <f>VLOOKUP(BV24,$AA$5:$AI$26,9,FALSE)</f>
        <v>0</v>
      </c>
      <c r="BX24" s="50">
        <f>VLOOKUP(BV24,$AA$5:$AI$26,8,FALSE)</f>
        <v>0</v>
      </c>
      <c r="BY24" s="50">
        <f>VLOOKUP(BV24,$AA$5:$AI$26,6,FALSE)</f>
        <v>0</v>
      </c>
      <c r="CA24" s="50" t="str">
        <f>IF(BV24=CA$23,BV$23,BV24)</f>
        <v>Латвия</v>
      </c>
      <c r="CB24" s="50">
        <f>VLOOKUP(CA24,$AA$5:$AI$26,9,FALSE)</f>
        <v>0</v>
      </c>
      <c r="CC24" s="50">
        <f>VLOOKUP(CA24,$AA$5:$AI$26,8,FALSE)</f>
        <v>0</v>
      </c>
      <c r="CD24" s="50">
        <f>VLOOKUP(CA24,$AA$5:$AI$26,6,FALSE)</f>
        <v>0</v>
      </c>
      <c r="CE24" s="50" t="str">
        <f>IF(AND(CB24=CB25,CC24=CC25),IF(AND(CB24=CB26,CC24=CC26),IF(CD24&gt;=CD25,IF(CD24&gt;=CD26,CA24,CA26),IF(CD25&gt;=CD26,CA25,CA26)),IF(CD24&gt;=CD25,CA24,CA25)),CA24)</f>
        <v>Латвия</v>
      </c>
      <c r="CF24" s="50">
        <f>VLOOKUP(CE24,$AA$5:$AI$26,9,FALSE)</f>
        <v>0</v>
      </c>
      <c r="CG24" s="50">
        <f>VLOOKUP(CE24,$AA$5:$AI$26,8,FALSE)</f>
        <v>0</v>
      </c>
      <c r="CH24" s="50">
        <f>VLOOKUP(CE24,$AA$5:$AI$26,6,FALSE)</f>
        <v>0</v>
      </c>
      <c r="CI24" s="68" t="str">
        <f>CE24</f>
        <v>Латвия</v>
      </c>
      <c r="CJ24" s="68">
        <f>VLOOKUP(CI24,$AA$5:$AI$26,9,FALSE)</f>
        <v>0</v>
      </c>
      <c r="CK24" s="68">
        <f>VLOOKUP(CI24,$AA$5:$AI$26,8,FALSE)</f>
        <v>0</v>
      </c>
      <c r="CL24" s="68">
        <f>VLOOKUP(CI24,$AA$5:$AI$26,6,FALSE)</f>
        <v>0</v>
      </c>
      <c r="CN24" s="50" t="str">
        <f>CI24</f>
        <v>Латвия</v>
      </c>
      <c r="CO24" s="50" t="str">
        <f>General_MA!CP24</f>
        <v>Латвия</v>
      </c>
      <c r="CP24" s="50" t="str">
        <f>General_MA!CP24</f>
        <v>Латвия</v>
      </c>
      <c r="CQ24" s="50" t="str">
        <f>CI24</f>
        <v>Латвия</v>
      </c>
      <c r="CR24" s="50" t="str">
        <f>General_MA!CP23</f>
        <v>Чехия</v>
      </c>
      <c r="CS24" s="50" t="str">
        <f>General_MA!CP23</f>
        <v>Чехия</v>
      </c>
      <c r="CU24" s="50" t="str">
        <f>IF(OR(AP24=AP25,AP24=AP23),"X","")</f>
        <v>X</v>
      </c>
      <c r="CV24" s="50" t="str">
        <f>IF(CU24="x",IF(AP24=AP25,"y",""),"")</f>
        <v>y</v>
      </c>
      <c r="CX24" s="50" t="str">
        <f>IF(CU24="x",AO24,"")</f>
        <v>Латвия</v>
      </c>
      <c r="DB24" s="50">
        <f>IF(CX24="",CI24,"")</f>
      </c>
    </row>
    <row r="25" spans="2:106" ht="11.25">
      <c r="B25" s="59" t="s">
        <v>19</v>
      </c>
      <c r="C25" s="60">
        <v>0.8229166666666666</v>
      </c>
      <c r="D25" s="59" t="s">
        <v>14</v>
      </c>
      <c r="E25" s="61" t="s">
        <v>43</v>
      </c>
      <c r="F25" s="45" t="s">
        <v>42</v>
      </c>
      <c r="G25" s="45" t="s">
        <v>44</v>
      </c>
      <c r="H25" s="46" t="str">
        <f>VLOOKUP(F25,Teams!$A$2:$B$17,2,FALSE)</f>
        <v>Нидерланды</v>
      </c>
      <c r="I25" s="46" t="str">
        <f>VLOOKUP(G25,Teams!$A$2:$B$17,2,FALSE)</f>
        <v>Латвия</v>
      </c>
      <c r="J25" s="33"/>
      <c r="K25" s="33"/>
      <c r="L25" s="50">
        <f t="shared" si="0"/>
      </c>
      <c r="M25" s="50">
        <f t="shared" si="1"/>
      </c>
      <c r="O25" s="41" t="str">
        <f>HLOOKUP("YES",$CN$22:$CS$26,4,FALSE)</f>
        <v>Германия</v>
      </c>
      <c r="P25" s="42">
        <f>VLOOKUP($O25,$AA$5:$AI$26,2,FALSE)</f>
        <v>0</v>
      </c>
      <c r="Q25" s="42">
        <f>VLOOKUP($O25,$AA$5:$AI$26,3,FALSE)</f>
        <v>0</v>
      </c>
      <c r="R25" s="42">
        <f>VLOOKUP($O25,$AA$5:$AI$26,4,FALSE)</f>
        <v>0</v>
      </c>
      <c r="S25" s="42">
        <f>VLOOKUP($O25,$AA$5:$AI$26,5,FALSE)</f>
        <v>0</v>
      </c>
      <c r="T25" s="42">
        <f>VLOOKUP($O25,$AA$5:$AI$26,6,FALSE)</f>
        <v>0</v>
      </c>
      <c r="U25" s="42">
        <f>VLOOKUP($O25,$AA$5:$AI$26,7,FALSE)</f>
        <v>0</v>
      </c>
      <c r="V25" s="42">
        <f>VLOOKUP($O25,$AA$5:$AI$26,8,FALSE)</f>
        <v>0</v>
      </c>
      <c r="W25" s="79">
        <f>VLOOKUP($O25,$AA$5:$AI$26,9,FALSE)</f>
        <v>0</v>
      </c>
      <c r="Z25" s="75" t="str">
        <f>Teams!A16</f>
        <v>D3</v>
      </c>
      <c r="AA25" s="75" t="str">
        <f>Teams!B16</f>
        <v>Германия</v>
      </c>
      <c r="AB25" s="50">
        <f>MAX(COUNT(D3_Pld),COUNT(D3_against))</f>
        <v>0</v>
      </c>
      <c r="AC25" s="76">
        <f>COUNTIF($L$3:$L$26,AA25)</f>
        <v>0</v>
      </c>
      <c r="AD25" s="76">
        <f>COUNTIF($M$3:$M$26,AA25)</f>
        <v>0</v>
      </c>
      <c r="AE25" s="76">
        <f>AB25-AC25-AD25</f>
        <v>0</v>
      </c>
      <c r="AF25" s="76">
        <f>SUM(D3_Pld)</f>
        <v>0</v>
      </c>
      <c r="AG25" s="76">
        <f>SUM(D3_against)</f>
        <v>0</v>
      </c>
      <c r="AH25" s="76">
        <f>AF25-AG25</f>
        <v>0</v>
      </c>
      <c r="AI25" s="76">
        <f>AC25*3+AE25*1</f>
        <v>0</v>
      </c>
      <c r="AK25" s="50" t="str">
        <f>IF(AA25=AK$23,AA$23,AA25)</f>
        <v>Германия</v>
      </c>
      <c r="AL25" s="50">
        <f>VLOOKUP(AK25,$AA$5:$AI$26,9,FALSE)</f>
        <v>0</v>
      </c>
      <c r="AM25" s="50" t="str">
        <f>IF(AK25=AM$24,AK$24,AK25)</f>
        <v>Германия</v>
      </c>
      <c r="AN25" s="50">
        <f t="shared" si="5"/>
        <v>0</v>
      </c>
      <c r="AO25" s="50" t="str">
        <f>IF(AN25&gt;=AN26,AM25,AM26)</f>
        <v>Германия</v>
      </c>
      <c r="AP25" s="50">
        <f t="shared" si="5"/>
        <v>0</v>
      </c>
      <c r="AQ25" s="50">
        <f t="shared" si="2"/>
        <v>0</v>
      </c>
      <c r="AS25" s="50" t="str">
        <f>IF(AO25=$AS$23,$AO$23,AO25)</f>
        <v>Германия</v>
      </c>
      <c r="AT25" s="50">
        <f>VLOOKUP(AS25,$AA$5:$AI$26,9,FALSE)</f>
        <v>0</v>
      </c>
      <c r="AU25" s="50">
        <f>VLOOKUP(AS25,$AA$5:$AI$26,8,FALSE)</f>
        <v>0</v>
      </c>
      <c r="AV25" s="50" t="str">
        <f>IF(AS25=AV$24,AS$24,AS25)</f>
        <v>Германия</v>
      </c>
      <c r="AW25" s="50">
        <f>VLOOKUP(AV25,$AA$5:$AI$26,9,FALSE)</f>
        <v>0</v>
      </c>
      <c r="AX25" s="50">
        <f>VLOOKUP(AV25,$AA$5:$AI$26,8,FALSE)</f>
        <v>0</v>
      </c>
      <c r="AY25" s="50" t="str">
        <f>IF(AX25&gt;=AX26,AV25,AV26)</f>
        <v>Германия</v>
      </c>
      <c r="AZ25" s="50">
        <f>VLOOKUP(AY25,$AA$5:$AI$26,9,FALSE)</f>
        <v>0</v>
      </c>
      <c r="BA25" s="50">
        <f>VLOOKUP(AY25,$AA$5:$AI$26,8,FALSE)</f>
        <v>0</v>
      </c>
      <c r="BB25" s="50">
        <v>3</v>
      </c>
      <c r="BC25" s="50">
        <f>VLOOKUP(AY25,$AA$5:$AI$26,6,FALSE)</f>
        <v>0</v>
      </c>
      <c r="BE25" s="50" t="str">
        <f>IF(AY25=BE$23,AY$17,AY25)</f>
        <v>Германия</v>
      </c>
      <c r="BF25" s="50">
        <f>VLOOKUP(BE25,$AA$5:$AI$26,9,FALSE)</f>
        <v>0</v>
      </c>
      <c r="BG25" s="50">
        <f>VLOOKUP(BE25,$AA$5:$AI$26,6,FALSE)</f>
        <v>0</v>
      </c>
      <c r="BH25" s="50" t="str">
        <f>IF(BE25=BH$24,BE$24,BE25)</f>
        <v>Германия</v>
      </c>
      <c r="BI25" s="50">
        <f>VLOOKUP(BH25,$AA$5:$AI$26,9,FALSE)</f>
        <v>0</v>
      </c>
      <c r="BJ25" s="50">
        <f>VLOOKUP(BH25,$AA$5:$AI$26,6,FALSE)</f>
        <v>0</v>
      </c>
      <c r="BK25" s="50" t="str">
        <f>IF(BJ25&gt;=BJ26,BH25,BH26)</f>
        <v>Германия</v>
      </c>
      <c r="BL25" s="50">
        <f>VLOOKUP(BK25,$AA$5:$AI$26,9,FALSE)</f>
        <v>0</v>
      </c>
      <c r="BM25" s="50">
        <f>VLOOKUP(BK25,$AA$5:$AI$26,6,FALSE)</f>
        <v>0</v>
      </c>
      <c r="BN25" s="50">
        <v>3</v>
      </c>
      <c r="BP25" s="50" t="str">
        <f>IF(AO25=BP$23,AO$23,AO25)</f>
        <v>Германия</v>
      </c>
      <c r="BQ25" s="50">
        <f>VLOOKUP(BP25,$AA$5:$AI$26,9,FALSE)</f>
        <v>0</v>
      </c>
      <c r="BR25" s="50">
        <f>VLOOKUP(BP25,$AA$5:$AI$26,8,FALSE)</f>
        <v>0</v>
      </c>
      <c r="BS25" s="50" t="str">
        <f>IF(BP25=BS$24,BP$24,BP25)</f>
        <v>Германия</v>
      </c>
      <c r="BT25" s="50">
        <f>VLOOKUP(BS25,$AA$5:$AI$26,9,FALSE)</f>
        <v>0</v>
      </c>
      <c r="BU25" s="50">
        <f>VLOOKUP(BS25,$AA$5:$AI$26,8,FALSE)</f>
        <v>0</v>
      </c>
      <c r="BV25" s="50" t="str">
        <f>IF(BT25=BT26,IF(BU25&gt;=BU26,BS25,BS26),BS25)</f>
        <v>Германия</v>
      </c>
      <c r="BW25" s="50">
        <f>VLOOKUP(BV25,$AA$5:$AI$26,9,FALSE)</f>
        <v>0</v>
      </c>
      <c r="BX25" s="50">
        <f>VLOOKUP(BV25,$AA$5:$AI$26,8,FALSE)</f>
        <v>0</v>
      </c>
      <c r="BY25" s="50">
        <f>VLOOKUP(BV25,$AA$5:$AI$26,6,FALSE)</f>
        <v>0</v>
      </c>
      <c r="CA25" s="50" t="str">
        <f>IF(BV25=CA$23,BV$23,BV25)</f>
        <v>Германия</v>
      </c>
      <c r="CB25" s="50">
        <f>VLOOKUP(CA25,$AA$5:$AI$26,9,FALSE)</f>
        <v>0</v>
      </c>
      <c r="CC25" s="50">
        <f>VLOOKUP(CA25,$AA$5:$AI$26,8,FALSE)</f>
        <v>0</v>
      </c>
      <c r="CD25" s="50">
        <f>VLOOKUP(CA25,$AA$5:$AI$26,6,FALSE)</f>
        <v>0</v>
      </c>
      <c r="CE25" s="50" t="str">
        <f>IF(CA25=CE$24,CA$24,CA25)</f>
        <v>Германия</v>
      </c>
      <c r="CF25" s="50">
        <f>VLOOKUP(CE25,$AA$5:$AI$26,9,FALSE)</f>
        <v>0</v>
      </c>
      <c r="CG25" s="50">
        <f>VLOOKUP(CE25,$AA$5:$AI$26,8,FALSE)</f>
        <v>0</v>
      </c>
      <c r="CH25" s="50">
        <f>VLOOKUP(CE25,$AA$5:$AI$26,6,FALSE)</f>
        <v>0</v>
      </c>
      <c r="CI25" s="68" t="str">
        <f>IF(AND(CF25=CF26,CG25=CG26),IF(CH25&gt;=CH26,CE25,CE26),CE25)</f>
        <v>Германия</v>
      </c>
      <c r="CJ25" s="68">
        <f>VLOOKUP(CI25,$AA$5:$AI$26,9,FALSE)</f>
        <v>0</v>
      </c>
      <c r="CK25" s="68">
        <f>VLOOKUP(CI25,$AA$5:$AI$26,8,FALSE)</f>
        <v>0</v>
      </c>
      <c r="CL25" s="68">
        <f>VLOOKUP(CI25,$AA$5:$AI$26,6,FALSE)</f>
        <v>0</v>
      </c>
      <c r="CN25" s="50" t="str">
        <f>CI25</f>
        <v>Германия</v>
      </c>
      <c r="CO25" s="50" t="str">
        <f>CI25</f>
        <v>Германия</v>
      </c>
      <c r="CP25" s="50" t="str">
        <f>General_MA!CP25</f>
        <v>Германия</v>
      </c>
      <c r="CQ25" s="50" t="str">
        <f>CI25</f>
        <v>Германия</v>
      </c>
      <c r="CR25" s="50" t="str">
        <f>General_MA!CP24</f>
        <v>Латвия</v>
      </c>
      <c r="CS25" s="50" t="str">
        <f>General_MA!CP24</f>
        <v>Латвия</v>
      </c>
      <c r="CU25" s="50" t="str">
        <f>IF(OR(AP25=AP26,AP25=AP24),"X","")</f>
        <v>X</v>
      </c>
      <c r="CV25" s="50" t="str">
        <f>IF(CU25="x",IF(AP25=AP26,"y",""),"")</f>
        <v>y</v>
      </c>
      <c r="CX25" s="50" t="str">
        <f>IF(CU25="x",AO25,"")</f>
        <v>Германия</v>
      </c>
      <c r="DB25" s="50">
        <f>IF(AND(CU$27=4,CV$27=2),CX25,IF(CX25="",CI25,""))</f>
      </c>
    </row>
    <row r="26" spans="2:106" ht="11.25">
      <c r="B26" s="59" t="s">
        <v>19</v>
      </c>
      <c r="C26" s="60">
        <v>0.8229166666666666</v>
      </c>
      <c r="D26" s="59" t="s">
        <v>128</v>
      </c>
      <c r="E26" s="61" t="s">
        <v>43</v>
      </c>
      <c r="F26" s="45" t="s">
        <v>51</v>
      </c>
      <c r="G26" s="45" t="s">
        <v>52</v>
      </c>
      <c r="H26" s="46" t="str">
        <f>VLOOKUP(F26,Teams!$A$2:$B$17,2,FALSE)</f>
        <v>Германия</v>
      </c>
      <c r="I26" s="46" t="str">
        <f>VLOOKUP(G26,Teams!$A$2:$B$17,2,FALSE)</f>
        <v>Чехия</v>
      </c>
      <c r="J26" s="33"/>
      <c r="K26" s="33"/>
      <c r="L26" s="50">
        <f t="shared" si="0"/>
      </c>
      <c r="M26" s="50">
        <f t="shared" si="1"/>
      </c>
      <c r="O26" s="43" t="str">
        <f>HLOOKUP("YES",$CN$22:$CS$26,5,FALSE)</f>
        <v>Нидерланды</v>
      </c>
      <c r="P26" s="44">
        <f>VLOOKUP($O26,$AA$5:$AI$26,2,FALSE)</f>
        <v>0</v>
      </c>
      <c r="Q26" s="44">
        <f>VLOOKUP($O26,$AA$5:$AI$26,3,FALSE)</f>
        <v>0</v>
      </c>
      <c r="R26" s="44">
        <f>VLOOKUP($O26,$AA$5:$AI$26,4,FALSE)</f>
        <v>0</v>
      </c>
      <c r="S26" s="44">
        <f>VLOOKUP($O26,$AA$5:$AI$26,5,FALSE)</f>
        <v>0</v>
      </c>
      <c r="T26" s="44">
        <f>VLOOKUP($O26,$AA$5:$AI$26,6,FALSE)</f>
        <v>0</v>
      </c>
      <c r="U26" s="44">
        <f>VLOOKUP($O26,$AA$5:$AI$26,7,FALSE)</f>
        <v>0</v>
      </c>
      <c r="V26" s="44">
        <f>VLOOKUP($O26,$AA$5:$AI$26,8,FALSE)</f>
        <v>0</v>
      </c>
      <c r="W26" s="80">
        <f>VLOOKUP($O26,$AA$5:$AI$26,9,FALSE)</f>
        <v>0</v>
      </c>
      <c r="Z26" s="75" t="str">
        <f>Teams!A17</f>
        <v>D4</v>
      </c>
      <c r="AA26" s="75" t="str">
        <f>Teams!B17</f>
        <v>Нидерланды</v>
      </c>
      <c r="AB26" s="50">
        <f>MAX(COUNT(D4_Pld),COUNT(D4_against))</f>
        <v>0</v>
      </c>
      <c r="AC26" s="76">
        <f>COUNTIF($L$3:$L$26,AA26)</f>
        <v>0</v>
      </c>
      <c r="AD26" s="76">
        <f>COUNTIF($M$3:$M$26,AA26)</f>
        <v>0</v>
      </c>
      <c r="AE26" s="76">
        <f>AB26-AC26-AD26</f>
        <v>0</v>
      </c>
      <c r="AF26" s="76">
        <f>SUM(D4_Pld)</f>
        <v>0</v>
      </c>
      <c r="AG26" s="76">
        <f>SUM(D4_against)</f>
        <v>0</v>
      </c>
      <c r="AH26" s="76">
        <f>AF26-AG26</f>
        <v>0</v>
      </c>
      <c r="AI26" s="76">
        <f>AC26*3+AE26*1</f>
        <v>0</v>
      </c>
      <c r="AK26" s="50" t="str">
        <f>IF(AA26=AK$23,AA$23,AA26)</f>
        <v>Нидерланды</v>
      </c>
      <c r="AL26" s="50">
        <f>VLOOKUP(AK26,$AA$5:$AI$26,9,FALSE)</f>
        <v>0</v>
      </c>
      <c r="AM26" s="50" t="str">
        <f>IF(AK26=AM$24,AK$24,AK26)</f>
        <v>Нидерланды</v>
      </c>
      <c r="AN26" s="50">
        <f t="shared" si="5"/>
        <v>0</v>
      </c>
      <c r="AO26" s="50" t="str">
        <f>IF(AM26=AO25,AM25,AM26)</f>
        <v>Нидерланды</v>
      </c>
      <c r="AP26" s="50">
        <f t="shared" si="5"/>
        <v>0</v>
      </c>
      <c r="AQ26" s="50">
        <f t="shared" si="2"/>
        <v>0</v>
      </c>
      <c r="AS26" s="50" t="str">
        <f>IF(AO26=$AS$23,$AO$23,AO26)</f>
        <v>Нидерланды</v>
      </c>
      <c r="AT26" s="50">
        <f>VLOOKUP(AS26,$AA$5:$AI$26,9,FALSE)</f>
        <v>0</v>
      </c>
      <c r="AU26" s="50">
        <f>VLOOKUP(AS26,$AA$5:$AI$26,8,FALSE)</f>
        <v>0</v>
      </c>
      <c r="AV26" s="50" t="str">
        <f>IF(AS26=AV$24,AS$24,AS26)</f>
        <v>Нидерланды</v>
      </c>
      <c r="AW26" s="50">
        <f>VLOOKUP(AV26,$AA$5:$AI$26,9,FALSE)</f>
        <v>0</v>
      </c>
      <c r="AX26" s="50">
        <f>VLOOKUP(AV26,$AA$5:$AI$26,8,FALSE)</f>
        <v>0</v>
      </c>
      <c r="AY26" s="50" t="str">
        <f>IF(AV26=AY25,AV25,AV26)</f>
        <v>Нидерланды</v>
      </c>
      <c r="AZ26" s="50">
        <f>VLOOKUP(AY26,$AA$5:$AI$26,9,FALSE)</f>
        <v>0</v>
      </c>
      <c r="BA26" s="50">
        <f>VLOOKUP(AY26,$AA$5:$AI$26,8,FALSE)</f>
        <v>0</v>
      </c>
      <c r="BB26" s="50">
        <v>4</v>
      </c>
      <c r="BC26" s="50">
        <f>VLOOKUP(AY26,$AA$5:$AI$26,6,FALSE)</f>
        <v>0</v>
      </c>
      <c r="BE26" s="50" t="str">
        <f>IF(AY26=BE$23,AY$17,AY26)</f>
        <v>Нидерланды</v>
      </c>
      <c r="BF26" s="50">
        <f>VLOOKUP(BE26,$AA$5:$AI$26,9,FALSE)</f>
        <v>0</v>
      </c>
      <c r="BG26" s="50">
        <f>VLOOKUP(BE26,$AA$5:$AI$26,6,FALSE)</f>
        <v>0</v>
      </c>
      <c r="BH26" s="50" t="str">
        <f>IF(BE26=BH$24,BE$24,BE26)</f>
        <v>Нидерланды</v>
      </c>
      <c r="BI26" s="50">
        <f>VLOOKUP(BH26,$AA$5:$AI$26,9,FALSE)</f>
        <v>0</v>
      </c>
      <c r="BJ26" s="50">
        <f>VLOOKUP(BH26,$AA$5:$AI$26,6,FALSE)</f>
        <v>0</v>
      </c>
      <c r="BK26" s="50" t="str">
        <f>IF(BH26=BK25,BH25,BH26)</f>
        <v>Нидерланды</v>
      </c>
      <c r="BL26" s="50">
        <f>VLOOKUP(BK26,$AA$5:$AI$26,9,FALSE)</f>
        <v>0</v>
      </c>
      <c r="BM26" s="50">
        <f>VLOOKUP(BK26,$AA$5:$AI$26,6,FALSE)</f>
        <v>0</v>
      </c>
      <c r="BN26" s="50">
        <v>4</v>
      </c>
      <c r="BP26" s="50" t="str">
        <f>IF(AO26=BP$23,AO$23,AO26)</f>
        <v>Нидерланды</v>
      </c>
      <c r="BQ26" s="50">
        <f>VLOOKUP(BP26,$AA$5:$AI$26,9,FALSE)</f>
        <v>0</v>
      </c>
      <c r="BR26" s="50">
        <f>VLOOKUP(BP26,$AA$5:$AI$26,8,FALSE)</f>
        <v>0</v>
      </c>
      <c r="BS26" s="50" t="str">
        <f>IF(BP26=BS$24,BP$24,BP26)</f>
        <v>Нидерланды</v>
      </c>
      <c r="BT26" s="50">
        <f>VLOOKUP(BS26,$AA$5:$AI$26,9,FALSE)</f>
        <v>0</v>
      </c>
      <c r="BU26" s="50">
        <f>VLOOKUP(BS26,$AA$5:$AI$26,8,FALSE)</f>
        <v>0</v>
      </c>
      <c r="BV26" s="50" t="str">
        <f>IF(BS26=BV25,BS25,BS26)</f>
        <v>Нидерланды</v>
      </c>
      <c r="BW26" s="50">
        <f>VLOOKUP(BV26,$AA$5:$AI$26,9,FALSE)</f>
        <v>0</v>
      </c>
      <c r="BX26" s="50">
        <f>VLOOKUP(BV26,$AA$5:$AI$26,8,FALSE)</f>
        <v>0</v>
      </c>
      <c r="BY26" s="50">
        <f>VLOOKUP(BV26,$AA$5:$AI$26,6,FALSE)</f>
        <v>0</v>
      </c>
      <c r="CA26" s="50" t="str">
        <f>IF(BV26=CA$23,BV$23,BV26)</f>
        <v>Нидерланды</v>
      </c>
      <c r="CB26" s="50">
        <f>VLOOKUP(CA26,$AA$5:$AI$26,9,FALSE)</f>
        <v>0</v>
      </c>
      <c r="CC26" s="50">
        <f>VLOOKUP(CA26,$AA$5:$AI$26,8,FALSE)</f>
        <v>0</v>
      </c>
      <c r="CD26" s="50">
        <f>VLOOKUP(CA26,$AA$5:$AI$26,6,FALSE)</f>
        <v>0</v>
      </c>
      <c r="CE26" s="50" t="str">
        <f>IF(CA26=CE$24,CA$24,CA26)</f>
        <v>Нидерланды</v>
      </c>
      <c r="CF26" s="50">
        <f>VLOOKUP(CE26,$AA$5:$AI$26,9,FALSE)</f>
        <v>0</v>
      </c>
      <c r="CG26" s="50">
        <f>VLOOKUP(CE26,$AA$5:$AI$26,8,FALSE)</f>
        <v>0</v>
      </c>
      <c r="CH26" s="50">
        <f>VLOOKUP(CE26,$AA$5:$AI$26,6,FALSE)</f>
        <v>0</v>
      </c>
      <c r="CI26" s="81" t="str">
        <f>IF(CE26=CI25,CE25,CE26)</f>
        <v>Нидерланды</v>
      </c>
      <c r="CJ26" s="81">
        <f>VLOOKUP(CI26,$AA$5:$AI$26,9,FALSE)</f>
        <v>0</v>
      </c>
      <c r="CK26" s="81">
        <f>VLOOKUP(CI26,$AA$5:$AI$26,8,FALSE)</f>
        <v>0</v>
      </c>
      <c r="CL26" s="81">
        <f>VLOOKUP(CI26,$AA$5:$AI$26,6,FALSE)</f>
        <v>0</v>
      </c>
      <c r="CN26" s="50" t="str">
        <f>CI26</f>
        <v>Нидерланды</v>
      </c>
      <c r="CO26" s="50" t="str">
        <f>CI26</f>
        <v>Нидерланды</v>
      </c>
      <c r="CP26" s="50" t="str">
        <f>CI26</f>
        <v>Нидерланды</v>
      </c>
      <c r="CQ26" s="50" t="str">
        <f>CI26</f>
        <v>Нидерланды</v>
      </c>
      <c r="CR26" s="50" t="str">
        <f>CQ26</f>
        <v>Нидерланды</v>
      </c>
      <c r="CS26" s="50" t="str">
        <f>General_MA!CP25</f>
        <v>Германия</v>
      </c>
      <c r="CU26" s="50" t="str">
        <f>IF(OR(AP26=AP27,AP26=AP25),"X","")</f>
        <v>X</v>
      </c>
      <c r="CV26" s="50">
        <f>IF(CU26="x",IF(AP26=AP27,"y",""),"")</f>
      </c>
      <c r="CX26" s="50" t="str">
        <f>IF(CU26="x",AO26,"")</f>
        <v>Нидерланды</v>
      </c>
      <c r="DB26" s="50">
        <f>IF(AND(CU$27=4,CV$27=2),CX26,IF(CX26="",CI26,""))</f>
      </c>
    </row>
    <row r="27" spans="2:111" ht="11.25">
      <c r="B27" s="82"/>
      <c r="C27" s="82"/>
      <c r="D27" s="82"/>
      <c r="E27" s="83"/>
      <c r="F27" s="83"/>
      <c r="G27" s="83"/>
      <c r="N27" s="49"/>
      <c r="O27" s="49"/>
      <c r="P27" s="49"/>
      <c r="Q27" s="49"/>
      <c r="R27" s="49"/>
      <c r="S27" s="49"/>
      <c r="T27" s="49"/>
      <c r="U27" s="49"/>
      <c r="V27" s="49"/>
      <c r="W27" s="49"/>
      <c r="X27" s="49"/>
      <c r="Y27" s="49"/>
      <c r="Z27" s="75"/>
      <c r="AA27" s="75"/>
      <c r="AB27" s="76"/>
      <c r="AC27" s="76"/>
      <c r="AD27" s="76"/>
      <c r="AE27" s="76"/>
      <c r="AF27" s="76"/>
      <c r="AG27" s="76"/>
      <c r="AH27" s="76"/>
      <c r="AI27" s="76"/>
      <c r="AJ27" s="49"/>
      <c r="AK27" s="49"/>
      <c r="AL27" s="49"/>
      <c r="AM27" s="49"/>
      <c r="AN27" s="49"/>
      <c r="AO27" s="49"/>
      <c r="AP27" s="49" t="s">
        <v>75</v>
      </c>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f>COUNTIF(CU23:CU26,"X")</f>
        <v>4</v>
      </c>
      <c r="CV27" s="49">
        <f>COUNTIF(CV23:CV26,"y")</f>
        <v>3</v>
      </c>
      <c r="CW27" s="49"/>
      <c r="CX27" s="49">
        <f>COUNTIF(CU23:CU26,"X")</f>
        <v>4</v>
      </c>
      <c r="CY27" s="49" t="b">
        <f>OR(CU27=2,AND(CU27=4,CV27&lt;3))</f>
        <v>0</v>
      </c>
      <c r="CZ27" s="49" t="str">
        <f>IF(CJ24=CJ25,"NO","YES")</f>
        <v>NO</v>
      </c>
      <c r="DA27" s="49">
        <f>IF(AND(CY27=TRUE,CZ27="YES"),2,4-COUNTIF(CX23:CX26,""))</f>
        <v>4</v>
      </c>
      <c r="DB27" s="49"/>
      <c r="DC27" s="49"/>
      <c r="DD27" s="49"/>
      <c r="DE27" s="49"/>
      <c r="DF27" s="49"/>
      <c r="DG27" s="49"/>
    </row>
    <row r="28" spans="2:111" ht="11.25">
      <c r="B28" s="82"/>
      <c r="C28" s="82"/>
      <c r="D28" s="82"/>
      <c r="E28" s="83"/>
      <c r="F28" s="83"/>
      <c r="G28" s="83"/>
      <c r="N28" s="49"/>
      <c r="O28" s="49"/>
      <c r="P28" s="49"/>
      <c r="Q28" s="49"/>
      <c r="R28" s="49"/>
      <c r="S28" s="49"/>
      <c r="T28" s="49"/>
      <c r="U28" s="49"/>
      <c r="V28" s="49"/>
      <c r="W28" s="49"/>
      <c r="X28" s="49"/>
      <c r="Y28" s="49"/>
      <c r="Z28" s="75"/>
      <c r="AA28" s="75"/>
      <c r="AB28" s="76"/>
      <c r="AC28" s="76"/>
      <c r="AD28" s="76"/>
      <c r="AE28" s="76"/>
      <c r="AF28" s="76"/>
      <c r="AG28" s="76"/>
      <c r="AH28" s="76"/>
      <c r="AI28" s="76"/>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row>
    <row r="29" spans="2:111" ht="11.25">
      <c r="B29" s="82"/>
      <c r="C29" s="82"/>
      <c r="D29" s="82"/>
      <c r="E29" s="83"/>
      <c r="F29" s="83"/>
      <c r="G29" s="83"/>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row>
    <row r="30" spans="2:111" ht="11.25">
      <c r="B30" s="57" t="s">
        <v>129</v>
      </c>
      <c r="C30" s="58" t="s">
        <v>130</v>
      </c>
      <c r="D30" s="58" t="s">
        <v>131</v>
      </c>
      <c r="E30" s="51" t="s">
        <v>132</v>
      </c>
      <c r="F30" s="51" t="s">
        <v>133</v>
      </c>
      <c r="G30" s="51" t="s">
        <v>134</v>
      </c>
      <c r="H30" s="58"/>
      <c r="I30" s="58"/>
      <c r="J30" s="93" t="s">
        <v>135</v>
      </c>
      <c r="K30" s="94"/>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row>
    <row r="31" spans="2:111" ht="12.75" customHeight="1">
      <c r="B31" s="59" t="s">
        <v>20</v>
      </c>
      <c r="C31" s="60">
        <v>0.8229166666666666</v>
      </c>
      <c r="D31" s="59" t="s">
        <v>127</v>
      </c>
      <c r="E31" s="61" t="s">
        <v>116</v>
      </c>
      <c r="F31" s="45" t="s">
        <v>108</v>
      </c>
      <c r="G31" s="45" t="s">
        <v>109</v>
      </c>
      <c r="H31" s="47">
        <f>IF(P5=3,O5,"")</f>
      </c>
      <c r="I31" s="47">
        <f>IF(P12=3,O12,"")</f>
      </c>
      <c r="J31" s="48"/>
      <c r="K31" s="48"/>
      <c r="L31" s="50">
        <f aca="true" t="shared" si="6" ref="L31:L37">IF(J31&gt;K31,H31,IF(K31&gt;J31,I31,""))</f>
      </c>
      <c r="M31" s="50">
        <f aca="true" t="shared" si="7" ref="M31:M37">IF(J31&lt;K31,H31,IF(K31&lt;J31,I31,""))</f>
      </c>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row>
    <row r="32" spans="2:111" ht="12.75" customHeight="1">
      <c r="B32" s="59" t="s">
        <v>21</v>
      </c>
      <c r="C32" s="60">
        <v>0.8229166666666666</v>
      </c>
      <c r="D32" s="59" t="s">
        <v>128</v>
      </c>
      <c r="E32" s="61" t="s">
        <v>117</v>
      </c>
      <c r="F32" s="45" t="s">
        <v>110</v>
      </c>
      <c r="G32" s="45" t="s">
        <v>111</v>
      </c>
      <c r="H32" s="47">
        <f>IF(P11=3,O11,"")</f>
      </c>
      <c r="I32" s="47">
        <f>IF(P6=3,O6,"")</f>
      </c>
      <c r="J32" s="48"/>
      <c r="K32" s="48"/>
      <c r="L32" s="50">
        <f t="shared" si="6"/>
      </c>
      <c r="M32" s="50">
        <f t="shared" si="7"/>
      </c>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row>
    <row r="33" spans="2:111" ht="12.75" customHeight="1">
      <c r="B33" s="59" t="s">
        <v>22</v>
      </c>
      <c r="C33" s="60">
        <v>0.8229166666666666</v>
      </c>
      <c r="D33" s="59" t="s">
        <v>2</v>
      </c>
      <c r="E33" s="61" t="s">
        <v>58</v>
      </c>
      <c r="F33" s="45" t="s">
        <v>112</v>
      </c>
      <c r="G33" s="45" t="s">
        <v>113</v>
      </c>
      <c r="H33" s="47">
        <f>IF(P17=3,O17,"")</f>
      </c>
      <c r="I33" s="47">
        <f>IF(P24=3,O24,"")</f>
      </c>
      <c r="J33" s="48"/>
      <c r="K33" s="48"/>
      <c r="L33" s="50">
        <f t="shared" si="6"/>
      </c>
      <c r="M33" s="50">
        <f t="shared" si="7"/>
      </c>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row>
    <row r="34" spans="2:111" ht="12.75" customHeight="1">
      <c r="B34" s="59" t="s">
        <v>23</v>
      </c>
      <c r="C34" s="60">
        <v>0.8229166666666666</v>
      </c>
      <c r="D34" s="59" t="s">
        <v>1</v>
      </c>
      <c r="E34" s="61" t="s">
        <v>60</v>
      </c>
      <c r="F34" s="45" t="s">
        <v>115</v>
      </c>
      <c r="G34" s="45" t="s">
        <v>114</v>
      </c>
      <c r="H34" s="47">
        <f>IF(P23=3,O23,"")</f>
      </c>
      <c r="I34" s="47">
        <f>IF(P18=3,O18,"")</f>
      </c>
      <c r="J34" s="48"/>
      <c r="K34" s="48"/>
      <c r="L34" s="50">
        <f t="shared" si="6"/>
      </c>
      <c r="M34" s="50">
        <f t="shared" si="7"/>
      </c>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row>
    <row r="35" spans="2:111" ht="12.75" customHeight="1">
      <c r="B35" s="59" t="s">
        <v>24</v>
      </c>
      <c r="C35" s="60">
        <v>0.8229166666666666</v>
      </c>
      <c r="D35" s="59" t="s">
        <v>128</v>
      </c>
      <c r="E35" s="61" t="s">
        <v>118</v>
      </c>
      <c r="F35" s="45" t="s">
        <v>121</v>
      </c>
      <c r="G35" s="45" t="s">
        <v>122</v>
      </c>
      <c r="H35" s="47">
        <f>IF(L31&lt;&gt;"",L31,"")</f>
      </c>
      <c r="I35" s="47">
        <f>IF(L33&lt;&gt;"",L33,"")</f>
      </c>
      <c r="J35" s="48"/>
      <c r="K35" s="48"/>
      <c r="L35" s="50">
        <f t="shared" si="6"/>
      </c>
      <c r="M35" s="50">
        <f t="shared" si="7"/>
      </c>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row>
    <row r="36" spans="2:111" ht="12.75" customHeight="1">
      <c r="B36" s="59" t="s">
        <v>25</v>
      </c>
      <c r="C36" s="60">
        <v>0.8229166666666666</v>
      </c>
      <c r="D36" s="59" t="s">
        <v>1</v>
      </c>
      <c r="E36" s="61" t="s">
        <v>119</v>
      </c>
      <c r="F36" s="45" t="s">
        <v>123</v>
      </c>
      <c r="G36" s="45" t="s">
        <v>124</v>
      </c>
      <c r="H36" s="47">
        <f>IF(L32&lt;&gt;"",L32,"")</f>
      </c>
      <c r="I36" s="47">
        <f>IF(L34&lt;&gt;"",L34,"")</f>
      </c>
      <c r="J36" s="48"/>
      <c r="K36" s="48"/>
      <c r="L36" s="50">
        <f t="shared" si="6"/>
      </c>
      <c r="M36" s="50">
        <f t="shared" si="7"/>
      </c>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row>
    <row r="37" spans="2:111" ht="11.25">
      <c r="B37" s="59" t="s">
        <v>26</v>
      </c>
      <c r="C37" s="60">
        <v>0.8229166666666666</v>
      </c>
      <c r="D37" s="59" t="s">
        <v>127</v>
      </c>
      <c r="E37" s="61" t="s">
        <v>120</v>
      </c>
      <c r="F37" s="45" t="s">
        <v>118</v>
      </c>
      <c r="G37" s="45" t="s">
        <v>119</v>
      </c>
      <c r="H37" s="47">
        <f>IF(L35&lt;&gt;"",L35,"")</f>
      </c>
      <c r="I37" s="47">
        <f>IF(L36&lt;&gt;"",L36,"")</f>
      </c>
      <c r="J37" s="48"/>
      <c r="K37" s="48"/>
      <c r="L37" s="50">
        <f t="shared" si="6"/>
      </c>
      <c r="M37" s="50">
        <f t="shared" si="7"/>
      </c>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row>
    <row r="38" spans="14:111" ht="11.25">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row>
    <row r="39" spans="2:111" ht="11.25">
      <c r="B39" s="84"/>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row>
    <row r="40" spans="2:111" ht="18">
      <c r="B40" s="85" t="s">
        <v>136</v>
      </c>
      <c r="C40" s="85"/>
      <c r="D40" s="85"/>
      <c r="E40" s="86"/>
      <c r="F40" s="87">
        <f>IF(L37&lt;&gt;"",L37,"")</f>
      </c>
      <c r="G40" s="88"/>
      <c r="H40" s="88"/>
      <c r="I40" s="88"/>
      <c r="J40" s="88"/>
      <c r="K40" s="89"/>
      <c r="N40" s="49"/>
      <c r="O40" s="95"/>
      <c r="P40" s="95"/>
      <c r="Q40" s="95"/>
      <c r="R40" s="95"/>
      <c r="S40" s="95"/>
      <c r="T40" s="95"/>
      <c r="U40" s="95"/>
      <c r="V40" s="95"/>
      <c r="W40" s="95"/>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row>
    <row r="41" spans="14:111" ht="11.25">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row>
    <row r="42" spans="14:111" ht="11.25">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row>
    <row r="43" spans="14:111" ht="11.25">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row>
    <row r="44" spans="14:111" ht="11.25">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row>
    <row r="45" spans="14:111" ht="11.25">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row>
    <row r="46" spans="14:111" ht="11.25">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row>
    <row r="47" spans="14:111" ht="11.25">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row>
    <row r="48" spans="14:111" ht="11.25">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row>
    <row r="49" spans="14:109" ht="11.25">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row>
    <row r="50" spans="14:109" ht="11.25">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row>
    <row r="51" spans="14:109" ht="11.25">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row>
  </sheetData>
  <sheetProtection password="D8E7" sheet="1" objects="1" scenarios="1" selectLockedCells="1"/>
  <mergeCells count="5">
    <mergeCell ref="F40:K40"/>
    <mergeCell ref="O2:W2"/>
    <mergeCell ref="J2:K2"/>
    <mergeCell ref="J30:K30"/>
    <mergeCell ref="O40:W40"/>
  </mergeCells>
  <printOptions/>
  <pageMargins left="0.75" right="0.75" top="1" bottom="1" header="0.5" footer="0.5"/>
  <pageSetup horizontalDpi="600" verticalDpi="600" orientation="portrait" paperSize="9" r:id="rId3"/>
  <drawing r:id="rId1"/>
  <picture r:id="rId2"/>
</worksheet>
</file>

<file path=xl/worksheets/sheet3.xml><?xml version="1.0" encoding="utf-8"?>
<worksheet xmlns="http://schemas.openxmlformats.org/spreadsheetml/2006/main" xmlns:r="http://schemas.openxmlformats.org/officeDocument/2006/relationships">
  <dimension ref="A1:DG54"/>
  <sheetViews>
    <sheetView workbookViewId="0" topLeftCell="DJ1">
      <selection activeCell="DI1" sqref="A1:DI16384"/>
    </sheetView>
  </sheetViews>
  <sheetFormatPr defaultColWidth="9.140625" defaultRowHeight="12.75"/>
  <cols>
    <col min="1" max="1" width="8.140625" style="3" hidden="1" customWidth="1"/>
    <col min="2" max="2" width="5.7109375" style="3" hidden="1" customWidth="1"/>
    <col min="3" max="3" width="28.28125" style="3" hidden="1" customWidth="1"/>
    <col min="4" max="4" width="4.7109375" style="3" hidden="1" customWidth="1"/>
    <col min="5" max="5" width="6.28125" style="3" hidden="1" customWidth="1"/>
    <col min="6" max="6" width="6.140625" style="3" hidden="1" customWidth="1"/>
    <col min="7" max="8" width="11.7109375" style="3" hidden="1" customWidth="1"/>
    <col min="9" max="9" width="3.28125" style="3" hidden="1" customWidth="1"/>
    <col min="10" max="10" width="3.140625" style="3" hidden="1" customWidth="1"/>
    <col min="11" max="11" width="7.8515625" style="3" hidden="1" customWidth="1"/>
    <col min="12" max="12" width="5.8515625" style="3" hidden="1" customWidth="1"/>
    <col min="13" max="13" width="2.140625" style="3" hidden="1" customWidth="1"/>
    <col min="14" max="14" width="3.28125" style="3" hidden="1" customWidth="1"/>
    <col min="15" max="15" width="13.57421875" style="3" hidden="1" customWidth="1"/>
    <col min="16" max="16" width="2.421875" style="3" hidden="1" customWidth="1"/>
    <col min="17" max="17" width="2.7109375" style="3" hidden="1" customWidth="1"/>
    <col min="18" max="18" width="2.00390625" style="3" hidden="1" customWidth="1"/>
    <col min="19" max="19" width="2.7109375" style="3" hidden="1" customWidth="1"/>
    <col min="20" max="21" width="3.00390625" style="3" hidden="1" customWidth="1"/>
    <col min="22" max="22" width="3.57421875" style="3" hidden="1" customWidth="1"/>
    <col min="23" max="23" width="3.8515625" style="3" hidden="1" customWidth="1"/>
    <col min="24" max="24" width="2.7109375" style="3" hidden="1" customWidth="1"/>
    <col min="25" max="25" width="12.8515625" style="3" hidden="1" customWidth="1"/>
    <col min="26" max="26" width="2.57421875" style="3" hidden="1" customWidth="1"/>
    <col min="27" max="27" width="11.57421875" style="3" hidden="1" customWidth="1"/>
    <col min="28" max="28" width="2.8515625" style="3" hidden="1" customWidth="1"/>
    <col min="29" max="29" width="11.57421875" style="3" hidden="1" customWidth="1"/>
    <col min="30" max="30" width="4.57421875" style="3" hidden="1" customWidth="1"/>
    <col min="31" max="31" width="3.140625" style="3" hidden="1" customWidth="1"/>
    <col min="32" max="32" width="2.140625" style="3" hidden="1" customWidth="1"/>
    <col min="33" max="33" width="11.57421875" style="3" hidden="1" customWidth="1"/>
    <col min="34" max="34" width="2.57421875" style="3" hidden="1" customWidth="1"/>
    <col min="35" max="35" width="2.8515625" style="3" hidden="1" customWidth="1"/>
    <col min="36" max="36" width="11.7109375" style="3" hidden="1" customWidth="1"/>
    <col min="37" max="37" width="1.8515625" style="3" hidden="1" customWidth="1"/>
    <col min="38" max="38" width="2.421875" style="3" hidden="1" customWidth="1"/>
    <col min="39" max="39" width="11.7109375" style="3" hidden="1" customWidth="1"/>
    <col min="40" max="40" width="2.28125" style="3" hidden="1" customWidth="1"/>
    <col min="41" max="41" width="2.140625" style="3" hidden="1" customWidth="1"/>
    <col min="42" max="42" width="2.00390625" style="3" hidden="1" customWidth="1"/>
    <col min="43" max="43" width="2.7109375" style="3" hidden="1" customWidth="1"/>
    <col min="44" max="44" width="2.421875" style="3" hidden="1" customWidth="1"/>
    <col min="45" max="45" width="9.421875" style="3" hidden="1" customWidth="1"/>
    <col min="46" max="46" width="2.57421875" style="3" hidden="1" customWidth="1"/>
    <col min="47" max="47" width="2.8515625" style="3" hidden="1" customWidth="1"/>
    <col min="48" max="48" width="11.7109375" style="3" hidden="1" customWidth="1"/>
    <col min="49" max="49" width="1.8515625" style="3" hidden="1" customWidth="1"/>
    <col min="50" max="50" width="2.421875" style="3" hidden="1" customWidth="1"/>
    <col min="51" max="51" width="11.7109375" style="3" hidden="1" customWidth="1"/>
    <col min="52" max="52" width="2.28125" style="3" hidden="1" customWidth="1"/>
    <col min="53" max="53" width="3.140625" style="3" hidden="1" customWidth="1"/>
    <col min="54" max="54" width="1.8515625" style="3" hidden="1" customWidth="1"/>
    <col min="55" max="55" width="4.8515625" style="3" hidden="1" customWidth="1"/>
    <col min="56" max="56" width="12.7109375" style="3" hidden="1" customWidth="1"/>
    <col min="57" max="57" width="2.57421875" style="3" hidden="1" customWidth="1"/>
    <col min="58" max="58" width="3.140625" style="3" hidden="1" customWidth="1"/>
    <col min="59" max="59" width="11.7109375" style="3" hidden="1" customWidth="1"/>
    <col min="60" max="60" width="3.421875" style="3" hidden="1" customWidth="1"/>
    <col min="61" max="61" width="4.57421875" style="3" hidden="1" customWidth="1"/>
    <col min="62" max="62" width="11.7109375" style="3" hidden="1" customWidth="1"/>
    <col min="63" max="63" width="3.7109375" style="3" hidden="1" customWidth="1"/>
    <col min="64" max="64" width="3.140625" style="3" hidden="1" customWidth="1"/>
    <col min="65" max="65" width="2.7109375" style="3" hidden="1" customWidth="1"/>
    <col min="66" max="66" width="4.57421875" style="3" hidden="1" customWidth="1"/>
    <col min="67" max="67" width="12.00390625" style="3" hidden="1" customWidth="1"/>
    <col min="68" max="68" width="2.57421875" style="3" hidden="1" customWidth="1"/>
    <col min="69" max="69" width="3.140625" style="3" hidden="1" customWidth="1"/>
    <col min="70" max="70" width="2.7109375" style="3" hidden="1" customWidth="1"/>
    <col min="71" max="71" width="8.7109375" style="3" hidden="1" customWidth="1"/>
    <col min="72" max="72" width="2.57421875" style="3" hidden="1" customWidth="1"/>
    <col min="73" max="73" width="3.140625" style="3" hidden="1" customWidth="1"/>
    <col min="74" max="74" width="2.7109375" style="3" hidden="1" customWidth="1"/>
    <col min="75" max="75" width="11.7109375" style="3" hidden="1" customWidth="1"/>
    <col min="76" max="76" width="2.57421875" style="3" hidden="1" customWidth="1"/>
    <col min="77" max="77" width="3.140625" style="3" hidden="1" customWidth="1"/>
    <col min="78" max="78" width="2.7109375" style="3" hidden="1" customWidth="1"/>
    <col min="79" max="79" width="1.57421875" style="3" hidden="1" customWidth="1"/>
    <col min="80" max="80" width="5.28125" style="3" hidden="1" customWidth="1"/>
    <col min="81" max="81" width="4.00390625" style="3" hidden="1" customWidth="1"/>
    <col min="82" max="82" width="2.57421875" style="3" hidden="1" customWidth="1"/>
    <col min="83" max="84" width="11.7109375" style="3" hidden="1" customWidth="1"/>
    <col min="85" max="85" width="5.28125" style="3" hidden="1" customWidth="1"/>
    <col min="86" max="86" width="4.00390625" style="3" hidden="1" customWidth="1"/>
    <col min="87" max="87" width="11.7109375" style="3" hidden="1" customWidth="1"/>
    <col min="88" max="88" width="13.421875" style="3" hidden="1" customWidth="1"/>
    <col min="89" max="89" width="13.7109375" style="3" hidden="1" customWidth="1"/>
    <col min="90" max="90" width="16.57421875" style="3" hidden="1" customWidth="1"/>
    <col min="91" max="92" width="13.7109375" style="3" hidden="1" customWidth="1"/>
    <col min="93" max="93" width="4.00390625" style="3" hidden="1" customWidth="1"/>
    <col min="94" max="94" width="15.28125" style="3" hidden="1" customWidth="1"/>
    <col min="95" max="96" width="4.57421875" style="3" hidden="1" customWidth="1"/>
    <col min="97" max="97" width="11.7109375" style="3" hidden="1" customWidth="1"/>
    <col min="98" max="98" width="3.28125" style="3" hidden="1" customWidth="1"/>
    <col min="99" max="99" width="4.57421875" style="3" hidden="1" customWidth="1"/>
    <col min="100" max="101" width="3.28125" style="3" hidden="1" customWidth="1"/>
    <col min="102" max="103" width="11.7109375" style="3" hidden="1" customWidth="1"/>
    <col min="104" max="104" width="4.00390625" style="3" hidden="1" customWidth="1"/>
    <col min="105" max="105" width="3.28125" style="3" hidden="1" customWidth="1"/>
    <col min="106" max="106" width="4.57421875" style="3" hidden="1" customWidth="1"/>
    <col min="107" max="107" width="3.28125" style="3" hidden="1" customWidth="1"/>
    <col min="108" max="108" width="2.57421875" style="3" hidden="1" customWidth="1"/>
    <col min="109" max="109" width="2.421875" style="3" hidden="1" customWidth="1"/>
    <col min="110" max="110" width="13.28125" style="3" hidden="1" customWidth="1"/>
    <col min="111" max="111" width="6.140625" style="3" hidden="1" customWidth="1"/>
    <col min="112" max="112" width="4.421875" style="3" hidden="1" customWidth="1"/>
    <col min="113" max="113" width="0" style="3" hidden="1" customWidth="1"/>
    <col min="114" max="114" width="4.140625" style="3" customWidth="1"/>
    <col min="115" max="16384" width="4.57421875" style="3" customWidth="1"/>
  </cols>
  <sheetData>
    <row r="1" spans="25:111" ht="11.25">
      <c r="Y1" s="12" t="s">
        <v>77</v>
      </c>
      <c r="Z1" s="13"/>
      <c r="AA1" s="13"/>
      <c r="AB1" s="13"/>
      <c r="AC1" s="13"/>
      <c r="AD1" s="13"/>
      <c r="AE1" s="14"/>
      <c r="AG1" s="12" t="s">
        <v>78</v>
      </c>
      <c r="AH1" s="13"/>
      <c r="AI1" s="13"/>
      <c r="AJ1" s="13"/>
      <c r="AK1" s="13"/>
      <c r="AL1" s="13"/>
      <c r="AM1" s="13"/>
      <c r="AN1" s="13"/>
      <c r="AO1" s="14"/>
      <c r="AS1" s="12" t="s">
        <v>82</v>
      </c>
      <c r="AT1" s="13"/>
      <c r="AU1" s="13"/>
      <c r="AV1" s="13"/>
      <c r="AW1" s="13"/>
      <c r="AX1" s="13"/>
      <c r="AY1" s="13"/>
      <c r="AZ1" s="13"/>
      <c r="BA1" s="14"/>
      <c r="BD1" s="12" t="s">
        <v>80</v>
      </c>
      <c r="BE1" s="13"/>
      <c r="BF1" s="13"/>
      <c r="BG1" s="13"/>
      <c r="BH1" s="13"/>
      <c r="BI1" s="13"/>
      <c r="BJ1" s="13"/>
      <c r="BK1" s="13"/>
      <c r="BL1" s="13"/>
      <c r="BM1" s="14"/>
      <c r="BO1" s="12" t="s">
        <v>81</v>
      </c>
      <c r="BP1" s="13"/>
      <c r="BQ1" s="13"/>
      <c r="BR1" s="13"/>
      <c r="BS1" s="13"/>
      <c r="BT1" s="13"/>
      <c r="BU1" s="13"/>
      <c r="BV1" s="13"/>
      <c r="BW1" s="13"/>
      <c r="BX1" s="13"/>
      <c r="BY1" s="13"/>
      <c r="BZ1" s="13"/>
      <c r="CA1" s="13"/>
      <c r="CB1" s="14"/>
      <c r="CE1" s="22" t="s">
        <v>97</v>
      </c>
      <c r="CF1" s="23" t="s">
        <v>98</v>
      </c>
      <c r="CG1" s="24"/>
      <c r="CH1" s="24"/>
      <c r="CI1" s="25"/>
      <c r="CJ1" s="22" t="s">
        <v>99</v>
      </c>
      <c r="CK1" s="22" t="s">
        <v>100</v>
      </c>
      <c r="CL1" s="22" t="s">
        <v>104</v>
      </c>
      <c r="CM1" s="22" t="s">
        <v>101</v>
      </c>
      <c r="CN1" s="22" t="s">
        <v>102</v>
      </c>
      <c r="CP1" s="30" t="s">
        <v>103</v>
      </c>
      <c r="CQ1" s="3" t="s">
        <v>95</v>
      </c>
      <c r="CS1" s="12" t="s">
        <v>92</v>
      </c>
      <c r="CT1" s="13"/>
      <c r="CU1" s="13"/>
      <c r="CV1" s="14"/>
      <c r="CW1" s="16"/>
      <c r="DD1" s="12" t="s">
        <v>79</v>
      </c>
      <c r="DE1" s="13"/>
      <c r="DF1" s="13"/>
      <c r="DG1" s="14"/>
    </row>
    <row r="2" spans="1:94" ht="11.25">
      <c r="A2" s="3" t="s">
        <v>27</v>
      </c>
      <c r="B2" s="3" t="s">
        <v>28</v>
      </c>
      <c r="C2" s="3" t="s">
        <v>31</v>
      </c>
      <c r="D2" s="3" t="s">
        <v>32</v>
      </c>
      <c r="E2" s="3" t="s">
        <v>29</v>
      </c>
      <c r="F2" s="3" t="s">
        <v>30</v>
      </c>
      <c r="I2" s="3" t="s">
        <v>61</v>
      </c>
      <c r="J2" s="3" t="s">
        <v>62</v>
      </c>
      <c r="K2" s="3" t="s">
        <v>71</v>
      </c>
      <c r="L2" s="3" t="s">
        <v>72</v>
      </c>
      <c r="CE2" s="17"/>
      <c r="CF2" s="18"/>
      <c r="CG2" s="6"/>
      <c r="CH2" s="6"/>
      <c r="CI2" s="19"/>
      <c r="CJ2" s="17"/>
      <c r="CK2" s="17"/>
      <c r="CL2" s="17"/>
      <c r="CM2" s="17"/>
      <c r="CN2" s="17"/>
      <c r="CP2" s="17"/>
    </row>
    <row r="3" spans="1:111" ht="11.25">
      <c r="A3" s="1" t="str">
        <f>General!B3</f>
        <v>12.06.04</v>
      </c>
      <c r="B3" s="2">
        <f>General!C3</f>
        <v>0.7083333333333334</v>
      </c>
      <c r="C3" s="1" t="str">
        <f>General!D3</f>
        <v>Dragão, Porto</v>
      </c>
      <c r="D3" s="3" t="str">
        <f>General!E3</f>
        <v>A</v>
      </c>
      <c r="E3" s="1" t="str">
        <f>General!F3</f>
        <v>A1</v>
      </c>
      <c r="F3" s="1" t="str">
        <f>General!G3</f>
        <v>A2</v>
      </c>
      <c r="G3" s="3" t="str">
        <f>General!H3</f>
        <v>Португалия</v>
      </c>
      <c r="H3" s="3" t="str">
        <f>General!I3</f>
        <v>Греция</v>
      </c>
      <c r="I3" s="3">
        <f>IF(OR(OR($O$39=$G3,$O$40=$G3,$O$41=$G3,$O$42=$G3,$O$43=$G3,$O$44=$G3,$O$45=$G3,$O$46=$G3,$O$47=$G3,O$48=$G3,$O$49=$G3,$O$50=$G3,$O$51=$G3,$O$52=$G3,$O$53=$G3,$O$54=$G3),OR($O$39=$H3,$O$40=$H3,$O$41=$H3,O$42=$H3,$O$43=$H3,$O$44=$H3,$O$45=$H3,$O$46=$H3,$O$47=$H3,$O$48=$H3,$O$49=$H3,$O$50=$H3,$O$51=$H3,$O$52=$H3,$O$53=$H3,$O$54=$H3)),"",General!J3)</f>
        <v>0</v>
      </c>
      <c r="J3" s="3">
        <f>IF(OR(OR($O$39=$G3,$O$40=$G3,$O$41=$G3,$O$42=$G3,$O$43=$G3,$O$44=$G3,$O$45=$G3,$O$46=$G3,$O$47=$G3,P$48=$G3,$O$49=$G3,$O$50=$G3,$O$51=$G3,$O$52=$G3,$O$53=$G3,$O$54=$G3),OR($O$39=$H3,$O$40=$H3,$O$41=$H3,O$42=$H3,$O$43=$H3,$O$44=$H3,$O$45=$H3,$O$46=$H3,$O$47=$H3,$O$48=$H3,$O$49=$H3,$O$50=$H3,$O$51=$H3,$O$52=$H3,$O$53=$H3,$O$54=$H3)),"",General!K3)</f>
        <v>0</v>
      </c>
      <c r="K3" s="3">
        <f>IF(I3&gt;J3,G3,IF(J3&gt;I3,H3,""))</f>
      </c>
      <c r="L3" s="3">
        <f>IF(I3&lt;J3,G3,IF(J3&lt;I3,H3,""))</f>
      </c>
      <c r="M3" s="3">
        <f>General!N3</f>
        <v>0</v>
      </c>
      <c r="N3" s="3">
        <f>General!Z3</f>
        <v>0</v>
      </c>
      <c r="O3" s="4" t="s">
        <v>64</v>
      </c>
      <c r="P3" s="5"/>
      <c r="Q3" s="5"/>
      <c r="R3" s="5"/>
      <c r="S3" s="5"/>
      <c r="T3" s="5"/>
      <c r="U3" s="5"/>
      <c r="V3" s="5"/>
      <c r="W3" s="5"/>
      <c r="Y3" s="3">
        <v>1</v>
      </c>
      <c r="AA3" s="3">
        <v>2</v>
      </c>
      <c r="AC3" s="3">
        <v>3</v>
      </c>
      <c r="AD3" s="3" t="s">
        <v>76</v>
      </c>
      <c r="AE3" s="3" t="s">
        <v>69</v>
      </c>
      <c r="AH3" s="3" t="s">
        <v>76</v>
      </c>
      <c r="AI3" s="3" t="s">
        <v>69</v>
      </c>
      <c r="AK3" s="3" t="s">
        <v>76</v>
      </c>
      <c r="AL3" s="3" t="s">
        <v>69</v>
      </c>
      <c r="AN3" s="3" t="s">
        <v>76</v>
      </c>
      <c r="AO3" s="3" t="s">
        <v>69</v>
      </c>
      <c r="AP3" s="3" t="s">
        <v>65</v>
      </c>
      <c r="AQ3" s="3" t="s">
        <v>68</v>
      </c>
      <c r="AT3" s="3" t="s">
        <v>76</v>
      </c>
      <c r="AU3" s="3" t="s">
        <v>69</v>
      </c>
      <c r="AW3" s="3" t="s">
        <v>76</v>
      </c>
      <c r="AX3" s="3" t="s">
        <v>69</v>
      </c>
      <c r="AZ3" s="3" t="s">
        <v>76</v>
      </c>
      <c r="BA3" s="3" t="s">
        <v>69</v>
      </c>
      <c r="BB3" s="3" t="s">
        <v>65</v>
      </c>
      <c r="BE3" s="3" t="s">
        <v>76</v>
      </c>
      <c r="BF3" s="3" t="s">
        <v>69</v>
      </c>
      <c r="BH3" s="3" t="s">
        <v>76</v>
      </c>
      <c r="BI3" s="3" t="s">
        <v>69</v>
      </c>
      <c r="BK3" s="10" t="s">
        <v>76</v>
      </c>
      <c r="BL3" s="10" t="s">
        <v>69</v>
      </c>
      <c r="BM3" s="10" t="s">
        <v>68</v>
      </c>
      <c r="BP3" s="10" t="s">
        <v>76</v>
      </c>
      <c r="BQ3" s="10" t="s">
        <v>69</v>
      </c>
      <c r="BR3" s="10" t="s">
        <v>68</v>
      </c>
      <c r="BT3" s="10" t="s">
        <v>76</v>
      </c>
      <c r="BU3" s="10" t="s">
        <v>69</v>
      </c>
      <c r="BV3" s="10" t="s">
        <v>68</v>
      </c>
      <c r="BX3" s="10" t="s">
        <v>76</v>
      </c>
      <c r="BY3" s="10" t="s">
        <v>69</v>
      </c>
      <c r="BZ3" s="10" t="s">
        <v>68</v>
      </c>
      <c r="CA3" s="10"/>
      <c r="CB3" s="3" t="s">
        <v>93</v>
      </c>
      <c r="CC3" s="3" t="s">
        <v>94</v>
      </c>
      <c r="CE3" s="17"/>
      <c r="CF3" s="18"/>
      <c r="CG3" s="6"/>
      <c r="CH3" s="6"/>
      <c r="CI3" s="19"/>
      <c r="CJ3" s="17"/>
      <c r="CK3" s="17"/>
      <c r="CL3" s="17"/>
      <c r="CM3" s="17"/>
      <c r="CN3" s="17"/>
      <c r="CP3" s="17"/>
      <c r="CS3" s="3">
        <f>General!CI3</f>
        <v>0</v>
      </c>
      <c r="CT3" s="3" t="str">
        <f>General!CJ3</f>
        <v>Pt</v>
      </c>
      <c r="CU3" s="3" t="str">
        <f>General!CK3</f>
        <v>GD</v>
      </c>
      <c r="CV3" s="3" t="str">
        <f>General!CL3</f>
        <v>F</v>
      </c>
      <c r="DF3" s="3" t="s">
        <v>73</v>
      </c>
      <c r="DG3" s="3" t="s">
        <v>74</v>
      </c>
    </row>
    <row r="4" spans="1:100" ht="11.25">
      <c r="A4" s="1" t="str">
        <f>General!B4</f>
        <v>12.06.04</v>
      </c>
      <c r="B4" s="2">
        <f>General!C4</f>
        <v>0.8229166666666667</v>
      </c>
      <c r="C4" s="1" t="str">
        <f>General!D4</f>
        <v>Algarve, Faro/Loulé</v>
      </c>
      <c r="D4" s="3" t="str">
        <f>General!E4</f>
        <v>A</v>
      </c>
      <c r="E4" s="1" t="str">
        <f>General!F4</f>
        <v>A3</v>
      </c>
      <c r="F4" s="1" t="str">
        <f>General!G4</f>
        <v>A4</v>
      </c>
      <c r="G4" s="3" t="str">
        <f>General!H4</f>
        <v>Испания</v>
      </c>
      <c r="H4" s="3" t="str">
        <f>General!I4</f>
        <v>Россия</v>
      </c>
      <c r="I4" s="3">
        <f>IF(OR(OR($O$39=$G4,$O$40=$G4,$O$41=$G4,$O$42=$G4,$O$43=$G4,$O$44=$G4,$O$45=$G4,$O$46=$G4,$O$47=$G4,O$48=$G4,$O$49=$G4,$O$50=$G4,$O$51=$G4,$O$52=$G4,$O$53=$G4,$O$54=$G4),OR($O$39=$H4,$O$40=$H4,$O$41=$H4,O$42=$H4,$O$43=$H4,$O$44=$H4,$O$45=$H4,$O$46=$H4,$O$47=$H4,$O$48=$H4,$O$49=$H4,$O$50=$H4,$O$51=$H4,$O$52=$H4,$O$53=$H4,$O$54=$H4)),"",General!J4)</f>
        <v>0</v>
      </c>
      <c r="J4" s="3">
        <f>IF(OR(OR($O$39=$G4,$O$40=$G4,$O$41=$G4,$O$42=$G4,$O$43=$G4,$O$44=$G4,$O$45=$G4,$O$46=$G4,$O$47=$G4,P$48=$G4,$O$49=$G4,$O$50=$G4,$O$51=$G4,$O$52=$G4,$O$53=$G4,$O$54=$G4),OR($O$39=$H4,$O$40=$H4,$O$41=$H4,O$42=$H4,$O$43=$H4,$O$44=$H4,$O$45=$H4,$O$46=$H4,$O$47=$H4,$O$48=$H4,$O$49=$H4,$O$50=$H4,$O$51=$H4,$O$52=$H4,$O$53=$H4,$O$54=$H4)),"",General!K4)</f>
        <v>0</v>
      </c>
      <c r="K4" s="3">
        <f aca="true" t="shared" si="0" ref="K4:K26">IF(I4&gt;J4,G4,IF(J4&gt;I4,H4,""))</f>
      </c>
      <c r="L4" s="3">
        <f aca="true" t="shared" si="1" ref="L4:L26">IF(I4&lt;J4,G4,IF(J4&lt;I4,H4,""))</f>
      </c>
      <c r="M4" s="3">
        <f>General!N4</f>
        <v>0</v>
      </c>
      <c r="N4" s="3">
        <f>General!Z4</f>
        <v>0</v>
      </c>
      <c r="O4" s="6"/>
      <c r="P4" s="7" t="s">
        <v>65</v>
      </c>
      <c r="Q4" s="7" t="s">
        <v>66</v>
      </c>
      <c r="R4" s="7" t="s">
        <v>67</v>
      </c>
      <c r="S4" s="7" t="s">
        <v>43</v>
      </c>
      <c r="T4" s="7" t="s">
        <v>68</v>
      </c>
      <c r="U4" s="7" t="s">
        <v>34</v>
      </c>
      <c r="V4" s="7" t="s">
        <v>69</v>
      </c>
      <c r="W4" s="7" t="s">
        <v>70</v>
      </c>
      <c r="CE4" s="26" t="str">
        <f>IF(OR(BX9=2,BX9=4),"YES","NO")</f>
        <v>YES</v>
      </c>
      <c r="CF4" s="18"/>
      <c r="CG4" s="6" t="s">
        <v>93</v>
      </c>
      <c r="CH4" s="6" t="s">
        <v>94</v>
      </c>
      <c r="CI4" s="28" t="str">
        <f>IF(AND(BY5=BY6,BY6=BY7,BZ5=BZ6,BZ6=BZ7,BX9=3),"YES","NO")</f>
        <v>NO</v>
      </c>
      <c r="CJ4" s="26" t="str">
        <f>IF(OR(AND(BX9=3,BY5=BY6,BY6&lt;&gt;BY7,BZ5=BZ6),AND(BX9=3,BY5=BY6,BY6=BY7,BZ5=BZ6,BZ6&lt;&gt;BZ7)),"YES","NO")</f>
        <v>NO</v>
      </c>
      <c r="CK4" s="26" t="str">
        <f>IF(OR(AND(BX9=3,BY5&lt;&gt;BY6,BY6=BY7,BZ6=BZ7),AND(BY5=BY6,BY6=BY7,BZ5&lt;&gt;BZ6,BZ6=BZ7)),"YES","NO")</f>
        <v>NO</v>
      </c>
      <c r="CL4" s="26" t="str">
        <f>IF(AND(BX9=3,COUNTIF(CI4:CK4,"YES")=0),"YES","NO")</f>
        <v>NO</v>
      </c>
      <c r="CM4" s="26" t="str">
        <f>IF(OR(BX9=1,BX9=0),"YES","NO")</f>
        <v>NO</v>
      </c>
      <c r="CN4" s="26" t="str">
        <f>IF(COUNTIF(CE4:CM4,"YES")&gt;0,"NO","YES")</f>
        <v>NO</v>
      </c>
      <c r="CP4" s="31"/>
      <c r="CS4" s="3">
        <f>General!CI4</f>
        <v>0</v>
      </c>
      <c r="CT4" s="3">
        <f>General!CJ4</f>
        <v>0</v>
      </c>
      <c r="CU4" s="3">
        <f>General!CK4</f>
        <v>0</v>
      </c>
      <c r="CV4" s="3">
        <f>General!CL4</f>
        <v>0</v>
      </c>
    </row>
    <row r="5" spans="1:110" ht="11.25">
      <c r="A5" s="1" t="str">
        <f>General!B5</f>
        <v>13.06.04</v>
      </c>
      <c r="B5" s="2">
        <f>General!C5</f>
        <v>0.7083333333333333</v>
      </c>
      <c r="C5" s="1" t="str">
        <f>General!D5</f>
        <v>Dr Magalhães Pessoa, Leiria</v>
      </c>
      <c r="D5" s="3" t="str">
        <f>General!E5</f>
        <v>B</v>
      </c>
      <c r="E5" s="1" t="str">
        <f>General!F5</f>
        <v>B3</v>
      </c>
      <c r="F5" s="1" t="str">
        <f>General!G5</f>
        <v>B4</v>
      </c>
      <c r="G5" s="3" t="str">
        <f>General!H5</f>
        <v>Швейцария</v>
      </c>
      <c r="H5" s="3" t="str">
        <f>General!I5</f>
        <v>Хорватия</v>
      </c>
      <c r="I5" s="3">
        <f>IF(OR(OR($O$39=$G5,$O$40=$G5,$O$41=$G5,$O$42=$G5,$O$43=$G5,$O$44=$G5,$O$45=$G5,$O$46=$G5,$O$47=$G5,O$48=$G5,$O$49=$G5,$O$50=$G5,$O$51=$G5,$O$52=$G5,$O$53=$G5,$O$54=$G5),OR($O$39=$H5,$O$40=$H5,$O$41=$H5,O$42=$H5,$O$43=$H5,$O$44=$H5,$O$45=$H5,$O$46=$H5,$O$47=$H5,$O$48=$H5,$O$49=$H5,$O$50=$H5,$O$51=$H5,$O$52=$H5,$O$53=$H5,$O$54=$H5)),"",General!J5)</f>
        <v>0</v>
      </c>
      <c r="J5" s="3">
        <f>IF(OR(OR($O$39=$G5,$O$40=$G5,$O$41=$G5,$O$42=$G5,$O$43=$G5,$O$44=$G5,$O$45=$G5,$O$46=$G5,$O$47=$G5,P$48=$G5,$O$49=$G5,$O$50=$G5,$O$51=$G5,$O$52=$G5,$O$53=$G5,$O$54=$G5),OR($O$39=$H5,$O$40=$H5,$O$41=$H5,O$42=$H5,$O$43=$H5,$O$44=$H5,$O$45=$H5,$O$46=$H5,$O$47=$H5,$O$48=$H5,$O$49=$H5,$O$50=$H5,$O$51=$H5,$O$52=$H5,$O$53=$H5,$O$54=$H5)),"",General!K5)</f>
        <v>0</v>
      </c>
      <c r="K5" s="3">
        <f t="shared" si="0"/>
      </c>
      <c r="L5" s="3">
        <f t="shared" si="1"/>
      </c>
      <c r="M5" s="3">
        <f>General!N5</f>
        <v>0</v>
      </c>
      <c r="N5" s="8" t="str">
        <f>General!Z5</f>
        <v>A1</v>
      </c>
      <c r="O5" s="8" t="str">
        <f>Teams!B2</f>
        <v>Португалия</v>
      </c>
      <c r="P5" s="3">
        <f>COUNT(MA_A1_Pld)</f>
        <v>3</v>
      </c>
      <c r="Q5" s="9">
        <f>COUNTIF($K$3:$K$26,O5)</f>
        <v>0</v>
      </c>
      <c r="R5" s="9">
        <f>COUNTIF($L$3:$L$26,O5)</f>
        <v>0</v>
      </c>
      <c r="S5" s="9">
        <f>P5-Q5-R5</f>
        <v>3</v>
      </c>
      <c r="T5" s="3">
        <f>SUM(MA_A1_Pld)</f>
        <v>0</v>
      </c>
      <c r="U5" s="9">
        <f>SUM(MA_A1_against)</f>
        <v>0</v>
      </c>
      <c r="V5" s="9">
        <f>T5-U5</f>
        <v>0</v>
      </c>
      <c r="W5" s="9">
        <f>Q5*3+S5*1-IF(OR(O$39=O5,O$40=O5,O$41=O5,O$42=O5,O$43=O5,O$44=O5,O$45=O5,O$46=O5,O$47=O5,O$48=O5,O$49=O5,O$50=O5,O$51=O5,O$52=O5,O$53=O5,O$54=O5),1,0)</f>
        <v>3</v>
      </c>
      <c r="Y5" s="3" t="str">
        <f>IF(W5&gt;=W6,IF(W5&gt;=W7,IF(W5&gt;=W8,O5,O8),IF(W7&gt;=W6,IF(W7&gt;=W8,O7,O8),IF(W6&gt;=W8,O6,O8))),IF(W6&gt;=W7,IF(W6&gt;=W8,O6,O8),IF(W7&gt;=W8,O7,O8)))</f>
        <v>Португалия</v>
      </c>
      <c r="Z5" s="3">
        <f>VLOOKUP(Y5,$O$5:$W$26,9,FALSE)</f>
        <v>3</v>
      </c>
      <c r="AA5" s="3" t="str">
        <f>Y5</f>
        <v>Португалия</v>
      </c>
      <c r="AB5" s="3">
        <f>VLOOKUP(AA5,$O$5:$W$26,9,FALSE)</f>
        <v>3</v>
      </c>
      <c r="AC5" s="3" t="str">
        <f>AA5</f>
        <v>Португалия</v>
      </c>
      <c r="AD5" s="3">
        <f>AB5</f>
        <v>3</v>
      </c>
      <c r="AE5" s="3">
        <f>VLOOKUP(AC5,$O$5:$W$26,8,FALSE)</f>
        <v>0</v>
      </c>
      <c r="AG5" s="3" t="str">
        <f>IF(AE5&gt;=AE6,IF(AE5&gt;=AE7,IF(AE5&gt;=AE8,AC5,AC8),IF(AE7&gt;=AE6,IF(AE7&gt;=AE8,AC7,AC8),IF(AE6&gt;=AE8,AC6,AC8))),IF(AE6&gt;=AE7,IF(AE6&gt;=AE8,AC6,AC8),IF(AE7&gt;=AE8,AC7,AC8)))</f>
        <v>Португалия</v>
      </c>
      <c r="AH5" s="3">
        <f>VLOOKUP(AG5,$O$5:$W$26,9,FALSE)</f>
        <v>3</v>
      </c>
      <c r="AI5" s="3">
        <f>VLOOKUP(AG5,$O$5:$W$26,8,FALSE)</f>
        <v>0</v>
      </c>
      <c r="AJ5" s="3" t="str">
        <f>AG5</f>
        <v>Португалия</v>
      </c>
      <c r="AK5" s="3">
        <f>VLOOKUP(AJ5,$O$5:$W$26,9,FALSE)</f>
        <v>3</v>
      </c>
      <c r="AL5" s="3">
        <f>VLOOKUP(AJ5,$O$5:$W$26,8,FALSE)</f>
        <v>0</v>
      </c>
      <c r="AM5" s="3" t="str">
        <f>AJ5</f>
        <v>Португалия</v>
      </c>
      <c r="AN5" s="3">
        <f>VLOOKUP(AM5,$O$5:$W$26,9,FALSE)</f>
        <v>3</v>
      </c>
      <c r="AO5" s="3">
        <f>VLOOKUP(AM5,$O$5:$W$26,8,FALSE)</f>
        <v>0</v>
      </c>
      <c r="AP5" s="3">
        <v>1</v>
      </c>
      <c r="AQ5" s="3">
        <f>VLOOKUP(AM5,$O$5:$W$26,6,FALSE)</f>
        <v>0</v>
      </c>
      <c r="AS5" s="3" t="str">
        <f>IF(AQ5&gt;=AQ6,IF(AQ5&gt;=AQ7,IF(AQ5&gt;=AQ8,AM5,AM8),IF(AQ7&gt;=AQ6,IF(AQ7&gt;=AQ8,AM7,AM8),IF(AQ6&gt;=AQ8,AM6,AM8))),IF(AQ6&gt;=AQ7,IF(AQ6&gt;=AQ8,AM6,AM8),IF(AQ7&gt;=AQ8,AM7,AM8)))</f>
        <v>Португалия</v>
      </c>
      <c r="AT5" s="3">
        <f>VLOOKUP(AS5,$O$5:$W$26,9,FALSE)</f>
        <v>3</v>
      </c>
      <c r="AU5" s="3">
        <f>VLOOKUP(AS5,$O$5:$W$26,6,FALSE)</f>
        <v>0</v>
      </c>
      <c r="AV5" s="3" t="str">
        <f>AS5</f>
        <v>Португалия</v>
      </c>
      <c r="AW5" s="3">
        <f>VLOOKUP(AV5,$O$5:$W$26,9,FALSE)</f>
        <v>3</v>
      </c>
      <c r="AX5" s="3">
        <f>VLOOKUP(AV5,$O$5:$W$26,6,FALSE)</f>
        <v>0</v>
      </c>
      <c r="AY5" s="3" t="str">
        <f>AV5</f>
        <v>Португалия</v>
      </c>
      <c r="AZ5" s="3">
        <f>VLOOKUP(AY5,$O$5:$W$26,9,FALSE)</f>
        <v>3</v>
      </c>
      <c r="BA5" s="3">
        <f>VLOOKUP(AY5,$O$5:$W$26,6,FALSE)</f>
        <v>0</v>
      </c>
      <c r="BB5" s="3">
        <v>1</v>
      </c>
      <c r="BD5" s="3" t="str">
        <f>IF(AD5=AD6,IF(AD5=AD7,IF(AD5=AD8,AM5,IF(AE5&gt;=AE6,IF(AE5&gt;=AE7,AC5,AC7),IF(AE6&gt;=AE7,AC6,AC7))),IF(AE5&gt;=AE6,AC5,AC6)),AC5)</f>
        <v>Португалия</v>
      </c>
      <c r="BE5" s="3">
        <f>VLOOKUP(BD5,$O$5:$W$26,9,FALSE)</f>
        <v>3</v>
      </c>
      <c r="BF5" s="3">
        <f>VLOOKUP(BD5,$O$5:$W$26,8,FALSE)</f>
        <v>0</v>
      </c>
      <c r="BG5" s="3" t="str">
        <f>BD5</f>
        <v>Португалия</v>
      </c>
      <c r="BH5" s="3">
        <f>VLOOKUP(BG5,$O$5:$W$26,9,FALSE)</f>
        <v>3</v>
      </c>
      <c r="BI5" s="3">
        <f>VLOOKUP(BG5,$O$5:$W$26,8,FALSE)</f>
        <v>0</v>
      </c>
      <c r="BJ5" s="3" t="str">
        <f>BG5</f>
        <v>Португалия</v>
      </c>
      <c r="BK5" s="3">
        <f>VLOOKUP(BJ5,$O$5:$W$26,9,FALSE)</f>
        <v>3</v>
      </c>
      <c r="BL5" s="3">
        <f>VLOOKUP(BJ5,$O$5:$W$26,8,FALSE)</f>
        <v>0</v>
      </c>
      <c r="BM5" s="3">
        <f>VLOOKUP(BJ5,$O$5:$W$26,6,FALSE)</f>
        <v>0</v>
      </c>
      <c r="BO5" s="3" t="str">
        <f>IF(AND(BK5=BK6,BL5=BL6),IF(AND(BK5=BK7,BL5=BL7),IF(AND(BK5=BK8,BL5=BL8),AY5,IF(BM5&gt;=BM6,IF(BM5&gt;=BM7,BJ5,BJ7),IF(BM6&gt;=BM7,BJ6,BJ7))),IF(BM5&gt;=BM6,BJ5,BJ6)),BJ5)</f>
        <v>Португалия</v>
      </c>
      <c r="BP5" s="3">
        <f>VLOOKUP(BO5,$O$5:$W$26,9,FALSE)</f>
        <v>3</v>
      </c>
      <c r="BQ5" s="3">
        <f>VLOOKUP(BO5,$O$5:$W$26,8,FALSE)</f>
        <v>0</v>
      </c>
      <c r="BR5" s="3">
        <f>VLOOKUP(BO5,$O$5:$W$26,6,FALSE)</f>
        <v>0</v>
      </c>
      <c r="BS5" s="3" t="str">
        <f>BO5</f>
        <v>Португалия</v>
      </c>
      <c r="BT5" s="3">
        <f>VLOOKUP(BS5,$O$5:$W$26,9,FALSE)</f>
        <v>3</v>
      </c>
      <c r="BU5" s="3">
        <f>VLOOKUP(BS5,$O$5:$W$26,8,FALSE)</f>
        <v>0</v>
      </c>
      <c r="BV5" s="3">
        <f>VLOOKUP(BS5,$O$5:$W$26,6,FALSE)</f>
        <v>0</v>
      </c>
      <c r="BW5" s="3" t="str">
        <f>BS5</f>
        <v>Португалия</v>
      </c>
      <c r="BX5" s="3">
        <f>VLOOKUP(BW5,$O$5:$W$26,9,FALSE)</f>
        <v>3</v>
      </c>
      <c r="BY5" s="3">
        <f>VLOOKUP(BW5,$O$5:$W$26,8,FALSE)</f>
        <v>0</v>
      </c>
      <c r="BZ5" s="3">
        <f>VLOOKUP(BW5,$O$5:$W$26,6,FALSE)</f>
        <v>0</v>
      </c>
      <c r="CB5" s="3">
        <f>VLOOKUP($BW5,General!$AA$5:$AI$26,8,FALSE)</f>
        <v>0</v>
      </c>
      <c r="CC5" s="3">
        <f>VLOOKUP($BW5,General!$AA$5:$AI$26,6,FALSE)</f>
        <v>0</v>
      </c>
      <c r="CE5" s="26" t="str">
        <f>IF(BX9=4,BW5,IF(BX9=2,IF(BX5=BX6,IF(BY5=BY6,IF(BZ5=BZ6,IF(CB5=CB6,IF(CC5&gt;=CC6,BW5,BW6),IF(CB5&gt;CB6,BW5,BW6)),BW5),BW5),BW5),"XXX"))</f>
        <v>Португалия</v>
      </c>
      <c r="CF5" s="18" t="str">
        <f>IF(CB5=CB6,IF(CB5=CB7,IF(CC5=CC6,IF(CC5&gt;=CC7,BW5,BW7),IF(CC5&gt;CC6,IF(CC5&gt;=CC7,BW5,BW7),IF(CC6&gt;=CC7,BW6,BW7))),IF(CB5&gt;CB7,BW5,BW7)),IF(CB5&gt;CB6,IF(CB5&gt;=CB7,BW5,BW7),IF(CB6&gt;=CB7,BW6,BW7)))</f>
        <v>Португалия</v>
      </c>
      <c r="CG5" s="6">
        <f>VLOOKUP(CF5,General!$AA$5:$AI$26,8,FALSE)</f>
        <v>0</v>
      </c>
      <c r="CH5" s="6">
        <f>VLOOKUP(CF5,General!$AA$5:$AI$26,6,FALSE)</f>
        <v>0</v>
      </c>
      <c r="CI5" s="28" t="str">
        <f>CF5</f>
        <v>Португалия</v>
      </c>
      <c r="CJ5" s="26" t="str">
        <f>IF(CB5=CB6,IF(CC5&gt;=CC6,BW5,BW6),IF(CB5&gt;CB6,BW5,BW6))</f>
        <v>Португалия</v>
      </c>
      <c r="CK5" s="26" t="str">
        <f>BW5</f>
        <v>Португалия</v>
      </c>
      <c r="CL5" s="26" t="str">
        <f>BW5</f>
        <v>Португалия</v>
      </c>
      <c r="CM5" s="26" t="str">
        <f>CS5</f>
        <v>Португалия</v>
      </c>
      <c r="CN5" s="26" t="str">
        <f>CS5</f>
        <v>Португалия</v>
      </c>
      <c r="CP5" s="31" t="str">
        <f>HLOOKUP("YES",CE$4:CN$8,2,FALSE)</f>
        <v>Португалия</v>
      </c>
      <c r="CQ5" s="3" t="s">
        <v>96</v>
      </c>
      <c r="CS5" s="3" t="str">
        <f>BW5</f>
        <v>Португалия</v>
      </c>
      <c r="CT5" s="3">
        <f>VLOOKUP($CS5,General!$AA$5:$AI$26,9,FALSE)</f>
        <v>0</v>
      </c>
      <c r="CU5" s="3">
        <f>VLOOKUP($CS5,General!$AA$5:$AI$26,8,FALSE)</f>
        <v>0</v>
      </c>
      <c r="CV5" s="3">
        <f>VLOOKUP($CS5,General!$AA$5:$AI$26,6,FALSE)</f>
        <v>0</v>
      </c>
      <c r="CX5" s="3" t="str">
        <f>IF(BX9=2,IF(AND(BY5=BY6,BZ5=BZ6),IF(CU5&gt;CU6,CS5,IF(CU5=CU6,IF(CV5&gt;=CV6,CS5,CS6),CS6)),BW5),IF(BX9=3,IF(AND(BY5=BY6,BZ5=BZ6,CB5=CB6),IF(CU5&gt;CU6,IF(CU5&gt;CU7,CS5,IF(CU5=CU7,IF(CV5&gt;=CV7,CS5,CS7),CS7)),IF(CU5=CU6,IF(CU5=CU7,IF(CV5&gt;=CV6,IF(CV5&gt;=CV7,CS5,CS7),IF(CV6&gt;=CV7,CS6,CS7)),IF(CV5&gt;=CV6,CS5,CS6)),IF(CU6&gt;CU7,CS6,IF(CU6=CU7,IF(CV6&gt;=CV7,CS6,CS7),CS7)))),BW5),BW5))</f>
        <v>Португалия</v>
      </c>
      <c r="CY5" s="3" t="str">
        <f>CX5</f>
        <v>Португалия</v>
      </c>
      <c r="DD5" s="3" t="str">
        <f>IF(OR(AD5=AD6,AD5=AD4),"X","")</f>
        <v>X</v>
      </c>
      <c r="DE5" s="3" t="str">
        <f>IF(DD5="x",IF(AD5=AD6,"y",""),"")</f>
        <v>y</v>
      </c>
      <c r="DF5" s="3" t="str">
        <f>IF(DD5="x",AC5,"")</f>
        <v>Португалия</v>
      </c>
    </row>
    <row r="6" spans="1:110" ht="11.25">
      <c r="A6" s="1" t="str">
        <f>General!B6</f>
        <v>13.06.04</v>
      </c>
      <c r="B6" s="2">
        <f>General!C6</f>
        <v>0.8229166666666666</v>
      </c>
      <c r="C6" s="1" t="str">
        <f>General!D6</f>
        <v>Luz, Lisboa</v>
      </c>
      <c r="D6" s="3" t="str">
        <f>General!E6</f>
        <v>B</v>
      </c>
      <c r="E6" s="1" t="str">
        <f>General!F6</f>
        <v>B1</v>
      </c>
      <c r="F6" s="1" t="str">
        <f>General!G6</f>
        <v>B2</v>
      </c>
      <c r="G6" s="3" t="str">
        <f>General!H6</f>
        <v>Франция</v>
      </c>
      <c r="H6" s="3" t="str">
        <f>General!I6</f>
        <v>Англия</v>
      </c>
      <c r="I6" s="3">
        <f>IF(OR(OR($O$39=$G6,$O$40=$G6,$O$41=$G6,$O$42=$G6,$O$43=$G6,$O$44=$G6,$O$45=$G6,$O$46=$G6,$O$47=$G6,O$48=$G6,$O$49=$G6,$O$50=$G6,$O$51=$G6,$O$52=$G6,$O$53=$G6,$O$54=$G6),OR($O$39=$H6,$O$40=$H6,$O$41=$H6,O$42=$H6,$O$43=$H6,$O$44=$H6,$O$45=$H6,$O$46=$H6,$O$47=$H6,$O$48=$H6,$O$49=$H6,$O$50=$H6,$O$51=$H6,$O$52=$H6,$O$53=$H6,$O$54=$H6)),"",General!J6)</f>
        <v>0</v>
      </c>
      <c r="J6" s="3">
        <f>IF(OR(OR($O$39=$G6,$O$40=$G6,$O$41=$G6,$O$42=$G6,$O$43=$G6,$O$44=$G6,$O$45=$G6,$O$46=$G6,$O$47=$G6,P$48=$G6,$O$49=$G6,$O$50=$G6,$O$51=$G6,$O$52=$G6,$O$53=$G6,$O$54=$G6),OR($O$39=$H6,$O$40=$H6,$O$41=$H6,O$42=$H6,$O$43=$H6,$O$44=$H6,$O$45=$H6,$O$46=$H6,$O$47=$H6,$O$48=$H6,$O$49=$H6,$O$50=$H6,$O$51=$H6,$O$52=$H6,$O$53=$H6,$O$54=$H6)),"",General!K6)</f>
        <v>0</v>
      </c>
      <c r="K6" s="3">
        <f t="shared" si="0"/>
      </c>
      <c r="L6" s="3">
        <f t="shared" si="1"/>
      </c>
      <c r="M6" s="3">
        <f>General!N6</f>
        <v>0</v>
      </c>
      <c r="N6" s="8" t="str">
        <f>General!Z6</f>
        <v>A2</v>
      </c>
      <c r="O6" s="8" t="str">
        <f>Teams!B3</f>
        <v>Греция</v>
      </c>
      <c r="P6" s="3">
        <f>COUNT(MA_A2_Pld)</f>
        <v>3</v>
      </c>
      <c r="Q6" s="9">
        <f>COUNTIF($K$3:$K$26,O6)</f>
        <v>0</v>
      </c>
      <c r="R6" s="9">
        <f>COUNTIF($L$3:$L$26,O6)</f>
        <v>0</v>
      </c>
      <c r="S6" s="9">
        <f>P6-Q6-R6</f>
        <v>3</v>
      </c>
      <c r="T6" s="3">
        <f>SUM(MA_A2_Pld)</f>
        <v>0</v>
      </c>
      <c r="U6" s="9">
        <f>SUM(MA_A2_against)</f>
        <v>0</v>
      </c>
      <c r="V6" s="9">
        <f>T6-U6</f>
        <v>0</v>
      </c>
      <c r="W6" s="9">
        <f>Q6*3+S6*1-IF(OR(O$39=O6,O$40=O6,O$41=O6,O$42=O6,O$43=O6,O$44=O6,O$45=O6,O$46=O6,O$47=O6,O$48=O6,O$49=O6,O$50=O6,O$51=O6,O$52=O6,O$53=O6,O$54=O6),1,0)</f>
        <v>3</v>
      </c>
      <c r="Y6" s="3" t="str">
        <f>IF(O6=Y$5,O$5,O6)</f>
        <v>Греция</v>
      </c>
      <c r="Z6" s="3">
        <f>VLOOKUP(Y6,$O$5:$W$26,9,FALSE)</f>
        <v>3</v>
      </c>
      <c r="AA6" s="3" t="str">
        <f>IF(Z6&gt;=Z7,IF(Z6&gt;=Z8,Y6,Y8),IF(Z7&gt;=Z8,Y7,Y8))</f>
        <v>Греция</v>
      </c>
      <c r="AB6" s="3">
        <f>VLOOKUP(AA6,$O$5:$W$26,9,FALSE)</f>
        <v>3</v>
      </c>
      <c r="AC6" s="3" t="str">
        <f>AA6</f>
        <v>Греция</v>
      </c>
      <c r="AD6" s="3">
        <f>AB6</f>
        <v>3</v>
      </c>
      <c r="AE6" s="3">
        <f aca="true" t="shared" si="2" ref="AE6:AE26">VLOOKUP(AC6,$O$5:$W$26,8,FALSE)</f>
        <v>0</v>
      </c>
      <c r="AG6" s="3" t="str">
        <f>IF(AC6=AG$5,AC$5,AC6)</f>
        <v>Греция</v>
      </c>
      <c r="AH6" s="3">
        <f>VLOOKUP(AG6,$O$5:$W$26,9,FALSE)</f>
        <v>3</v>
      </c>
      <c r="AI6" s="3">
        <f>VLOOKUP(AG6,$O$5:$W$26,8,FALSE)</f>
        <v>0</v>
      </c>
      <c r="AJ6" s="3" t="str">
        <f>IF(AI6&gt;=AI7,IF(AI6&gt;=AI8,AG6,AG8),IF(AI7&gt;=AI8,AG7,AG8))</f>
        <v>Греция</v>
      </c>
      <c r="AK6" s="3">
        <f>VLOOKUP(AJ6,$O$5:$W$26,9,FALSE)</f>
        <v>3</v>
      </c>
      <c r="AL6" s="3">
        <f>VLOOKUP(AJ6,$O$5:$W$26,8,FALSE)</f>
        <v>0</v>
      </c>
      <c r="AM6" s="3" t="str">
        <f>AJ6</f>
        <v>Греция</v>
      </c>
      <c r="AN6" s="3">
        <f>VLOOKUP(AM6,$O$5:$W$26,9,FALSE)</f>
        <v>3</v>
      </c>
      <c r="AO6" s="3">
        <f>VLOOKUP(AM6,$O$5:$W$26,8,FALSE)</f>
        <v>0</v>
      </c>
      <c r="AP6" s="3">
        <v>2</v>
      </c>
      <c r="AQ6" s="3">
        <f>VLOOKUP(AM6,$O$5:$W$26,6,FALSE)</f>
        <v>0</v>
      </c>
      <c r="AS6" s="3" t="str">
        <f>IF(AM6=AS$5,AM$5,AM6)</f>
        <v>Греция</v>
      </c>
      <c r="AT6" s="3">
        <f>VLOOKUP(AS6,$O$5:$W$26,9,FALSE)</f>
        <v>3</v>
      </c>
      <c r="AU6" s="3">
        <f>VLOOKUP(AS6,$O$5:$W$26,6,FALSE)</f>
        <v>0</v>
      </c>
      <c r="AV6" s="3" t="str">
        <f>IF(AU6&gt;=AU7,IF(AU6&gt;=AU8,AS6,AS8),IF(AU7&gt;=AU8,AS7,AS8))</f>
        <v>Греция</v>
      </c>
      <c r="AW6" s="3">
        <f>VLOOKUP(AV6,$O$5:$W$26,9,FALSE)</f>
        <v>3</v>
      </c>
      <c r="AX6" s="3">
        <f>VLOOKUP(AV6,$O$5:$W$26,6,FALSE)</f>
        <v>0</v>
      </c>
      <c r="AY6" s="3" t="str">
        <f>AV6</f>
        <v>Греция</v>
      </c>
      <c r="AZ6" s="3">
        <f>VLOOKUP(AY6,$O$5:$W$26,9,FALSE)</f>
        <v>3</v>
      </c>
      <c r="BA6" s="3">
        <f>VLOOKUP(AY6,$O$5:$W$26,6,FALSE)</f>
        <v>0</v>
      </c>
      <c r="BB6" s="3">
        <v>2</v>
      </c>
      <c r="BD6" s="3" t="str">
        <f>IF(AC6=BD$5,AC$5,AC6)</f>
        <v>Греция</v>
      </c>
      <c r="BE6" s="3">
        <f>VLOOKUP(BD6,$O$5:$W$26,9,FALSE)</f>
        <v>3</v>
      </c>
      <c r="BF6" s="3">
        <f>VLOOKUP(BD6,$O$5:$W$26,8,FALSE)</f>
        <v>0</v>
      </c>
      <c r="BG6" s="3" t="str">
        <f>IF(BE6=BE7,IF(BE6=BE8,IF(BF6&gt;=BF7,IF(BF6&gt;=BF8,BD6,BD8),IF(BF7&gt;=BF8,BD7,BD8)),IF(BF6&gt;=BF7,BD6,BD7)),BD6)</f>
        <v>Греция</v>
      </c>
      <c r="BH6" s="3">
        <f>VLOOKUP(BG6,$O$5:$W$26,9,FALSE)</f>
        <v>3</v>
      </c>
      <c r="BI6" s="3">
        <f>VLOOKUP(BG6,$O$5:$W$26,8,FALSE)</f>
        <v>0</v>
      </c>
      <c r="BJ6" s="3" t="str">
        <f>BG6</f>
        <v>Греция</v>
      </c>
      <c r="BK6" s="3">
        <f>VLOOKUP(BJ6,$O$5:$W$26,9,FALSE)</f>
        <v>3</v>
      </c>
      <c r="BL6" s="3">
        <f>VLOOKUP(BJ6,$O$5:$W$26,8,FALSE)</f>
        <v>0</v>
      </c>
      <c r="BM6" s="3">
        <f>VLOOKUP(BJ6,$O$5:$W$26,6,FALSE)</f>
        <v>0</v>
      </c>
      <c r="BO6" s="3" t="str">
        <f>IF(BJ6=BO$5,BJ$5,BJ6)</f>
        <v>Греция</v>
      </c>
      <c r="BP6" s="3">
        <f>VLOOKUP(BO6,$O$5:$W$26,9,FALSE)</f>
        <v>3</v>
      </c>
      <c r="BQ6" s="3">
        <f>VLOOKUP(BO6,$O$5:$W$26,8,FALSE)</f>
        <v>0</v>
      </c>
      <c r="BR6" s="3">
        <f>VLOOKUP(BO6,$O$5:$W$26,6,FALSE)</f>
        <v>0</v>
      </c>
      <c r="BS6" s="3" t="str">
        <f>IF(AND(BP6=BP7,BQ6=BQ7),IF(AND(BP6=BP8,BQ6=BQ8),IF(BR6&gt;=BR7,IF(BR6&gt;=BR8,BO6,BO8),IF(BR7&gt;=BR8,BO7,BO8)),IF(BR6&gt;=BR7,BO6,BO7)),BO6)</f>
        <v>Греция</v>
      </c>
      <c r="BT6" s="3">
        <f>VLOOKUP(BS6,$O$5:$W$26,9,FALSE)</f>
        <v>3</v>
      </c>
      <c r="BU6" s="3">
        <f>VLOOKUP(BS6,$O$5:$W$26,8,FALSE)</f>
        <v>0</v>
      </c>
      <c r="BV6" s="3">
        <f>VLOOKUP(BS6,$O$5:$W$26,6,FALSE)</f>
        <v>0</v>
      </c>
      <c r="BW6" s="3" t="str">
        <f>BS6</f>
        <v>Греция</v>
      </c>
      <c r="BX6" s="3">
        <f>VLOOKUP(BW6,$O$5:$W$26,9,FALSE)</f>
        <v>3</v>
      </c>
      <c r="BY6" s="3">
        <f>VLOOKUP(BW6,$O$5:$W$26,8,FALSE)</f>
        <v>0</v>
      </c>
      <c r="BZ6" s="3">
        <f>VLOOKUP(BW6,$O$5:$W$26,6,FALSE)</f>
        <v>0</v>
      </c>
      <c r="CB6" s="3">
        <f>VLOOKUP($BW6,General!$AA$5:$AI$26,8,FALSE)</f>
        <v>0</v>
      </c>
      <c r="CC6" s="3">
        <f>VLOOKUP($BW6,General!$AA$5:$AI$26,6,FALSE)</f>
        <v>0</v>
      </c>
      <c r="CE6" s="26" t="str">
        <f>IF(BW6=CE$5,BW$5,BW6)</f>
        <v>Греция</v>
      </c>
      <c r="CF6" s="18" t="str">
        <f>IF(BW6=CF$5,BW$5,BW6)</f>
        <v>Греция</v>
      </c>
      <c r="CG6" s="6">
        <f>VLOOKUP(CF6,General!$AA$5:$AI$26,8,FALSE)</f>
        <v>0</v>
      </c>
      <c r="CH6" s="6">
        <f>VLOOKUP(CF6,General!$AA$5:$AI$26,6,FALSE)</f>
        <v>0</v>
      </c>
      <c r="CI6" s="28" t="str">
        <f>IF(CG6=CG7,IF(CH6&gt;=CH7,CF6,CF7),IF(CG6&gt;CG7,CF6,CF7))</f>
        <v>Греция</v>
      </c>
      <c r="CJ6" s="26" t="str">
        <f>IF(BW6=CJ$5,BW$5,BW6)</f>
        <v>Греция</v>
      </c>
      <c r="CK6" s="26" t="str">
        <f>IF(CB6=CB7,IF(CC6&gt;=CC7,BW6,BW7),IF(CB6&gt;CB7,BW6,BW7))</f>
        <v>Греция</v>
      </c>
      <c r="CL6" s="26" t="str">
        <f>BW6</f>
        <v>Греция</v>
      </c>
      <c r="CM6" s="26" t="str">
        <f>CS6</f>
        <v>Греция</v>
      </c>
      <c r="CN6" s="26" t="str">
        <f>CS6</f>
        <v>Греция</v>
      </c>
      <c r="CP6" s="31" t="str">
        <f>HLOOKUP("YES",CE$4:CN$8,3,FALSE)</f>
        <v>Греция</v>
      </c>
      <c r="CS6" s="3" t="str">
        <f aca="true" t="shared" si="3" ref="CS6:CS26">BW6</f>
        <v>Греция</v>
      </c>
      <c r="CT6" s="3">
        <f>VLOOKUP($CS6,General!$AA$5:$AI$26,9,FALSE)</f>
        <v>0</v>
      </c>
      <c r="CU6" s="3">
        <f>VLOOKUP($CS6,General!$AA$5:$AI$26,8,FALSE)</f>
        <v>0</v>
      </c>
      <c r="CV6" s="3">
        <f>VLOOKUP($CS6,General!$AA$5:$AI$26,6,FALSE)</f>
        <v>0</v>
      </c>
      <c r="CX6" s="3" t="str">
        <f>IF(BW6=CX$5,BW$5,BW6)</f>
        <v>Греция</v>
      </c>
      <c r="CY6" s="3" t="str">
        <f>IF(BX9=2,CX6,IF(BX9=3,IF(CU6&gt;CU7,CX6,IF(CU6=CU7,IF(CV6&gt;=CV7,CX6,CX7),CX7)),BW6))</f>
        <v>Греция</v>
      </c>
      <c r="DD6" s="3" t="str">
        <f>IF(OR(AD6=AD7,AD6=AD5),"X","")</f>
        <v>X</v>
      </c>
      <c r="DE6" s="3" t="str">
        <f>IF(DD6="x",IF(AD6=AD7,"y",""),"")</f>
        <v>y</v>
      </c>
      <c r="DF6" s="3" t="str">
        <f>IF(DD6="x",AC6,"")</f>
        <v>Греция</v>
      </c>
    </row>
    <row r="7" spans="1:110" ht="11.25">
      <c r="A7" s="1" t="str">
        <f>General!B7</f>
        <v>14.06.04</v>
      </c>
      <c r="B7" s="2">
        <f>General!C7</f>
        <v>0.7083333333333333</v>
      </c>
      <c r="C7" s="1" t="str">
        <f>General!D7</f>
        <v>D. Afonso Henriques, Guimarães</v>
      </c>
      <c r="D7" s="3" t="str">
        <f>General!E7</f>
        <v>C</v>
      </c>
      <c r="E7" s="1" t="str">
        <f>General!F7</f>
        <v>C3</v>
      </c>
      <c r="F7" s="1" t="str">
        <f>General!G7</f>
        <v>C4</v>
      </c>
      <c r="G7" s="3" t="str">
        <f>General!H7</f>
        <v>Дания</v>
      </c>
      <c r="H7" s="3" t="str">
        <f>General!I7</f>
        <v>Италия</v>
      </c>
      <c r="I7" s="3">
        <f>IF(OR(OR($O$39=$G7,$O$40=$G7,$O$41=$G7,$O$42=$G7,$O$43=$G7,$O$44=$G7,$O$45=$G7,$O$46=$G7,$O$47=$G7,O$48=$G7,$O$49=$G7,$O$50=$G7,$O$51=$G7,$O$52=$G7,$O$53=$G7,$O$54=$G7),OR($O$39=$H7,$O$40=$H7,$O$41=$H7,O$42=$H7,$O$43=$H7,$O$44=$H7,$O$45=$H7,$O$46=$H7,$O$47=$H7,$O$48=$H7,$O$49=$H7,$O$50=$H7,$O$51=$H7,$O$52=$H7,$O$53=$H7,$O$54=$H7)),"",General!J7)</f>
        <v>0</v>
      </c>
      <c r="J7" s="3">
        <f>IF(OR(OR($O$39=$G7,$O$40=$G7,$O$41=$G7,$O$42=$G7,$O$43=$G7,$O$44=$G7,$O$45=$G7,$O$46=$G7,$O$47=$G7,P$48=$G7,$O$49=$G7,$O$50=$G7,$O$51=$G7,$O$52=$G7,$O$53=$G7,$O$54=$G7),OR($O$39=$H7,$O$40=$H7,$O$41=$H7,O$42=$H7,$O$43=$H7,$O$44=$H7,$O$45=$H7,$O$46=$H7,$O$47=$H7,$O$48=$H7,$O$49=$H7,$O$50=$H7,$O$51=$H7,$O$52=$H7,$O$53=$H7,$O$54=$H7)),"",General!K7)</f>
        <v>0</v>
      </c>
      <c r="K7" s="3">
        <f t="shared" si="0"/>
      </c>
      <c r="L7" s="3">
        <f t="shared" si="1"/>
      </c>
      <c r="M7" s="3">
        <f>General!N7</f>
        <v>0</v>
      </c>
      <c r="N7" s="8" t="str">
        <f>General!Z7</f>
        <v>A3</v>
      </c>
      <c r="O7" s="8" t="str">
        <f>Teams!B4</f>
        <v>Испания</v>
      </c>
      <c r="P7" s="3">
        <f>COUNT(MA_A3_Pld)</f>
        <v>3</v>
      </c>
      <c r="Q7" s="9">
        <f>COUNTIF($K$3:$K$26,O7)</f>
        <v>0</v>
      </c>
      <c r="R7" s="9">
        <f>COUNTIF($L$3:$L$26,O7)</f>
        <v>0</v>
      </c>
      <c r="S7" s="9">
        <f>P7-Q7-R7</f>
        <v>3</v>
      </c>
      <c r="T7" s="3">
        <f>SUM(MA_A3_Pld)</f>
        <v>0</v>
      </c>
      <c r="U7" s="9">
        <f>SUM(MA_A3_against)</f>
        <v>0</v>
      </c>
      <c r="V7" s="9">
        <f>T7-U7</f>
        <v>0</v>
      </c>
      <c r="W7" s="9">
        <f>Q7*3+S7*1-IF(OR(O$39=O7,O$40=O7,O$41=O7,O$42=O7,O$43=O7,O$44=O7,O$45=O7,O$46=O7,O$47=O7,O$48=O7,O$49=O7,O$50=O7,O$51=O7,O$52=O7,O$53=O7,O$54=O7),1,0)</f>
        <v>3</v>
      </c>
      <c r="Y7" s="3" t="str">
        <f>IF(O7=Y$5,O$5,O7)</f>
        <v>Испания</v>
      </c>
      <c r="Z7" s="3">
        <f>VLOOKUP(Y7,$O$5:$W$26,9,FALSE)</f>
        <v>3</v>
      </c>
      <c r="AA7" s="3" t="str">
        <f>IF(Y7=AA$6,Y$6,Y7)</f>
        <v>Испания</v>
      </c>
      <c r="AB7" s="3">
        <f>VLOOKUP(AA7,$O$5:$W$26,9,FALSE)</f>
        <v>3</v>
      </c>
      <c r="AC7" s="3" t="str">
        <f>IF(AB7&gt;=AB8,AA7,AA8)</f>
        <v>Испания</v>
      </c>
      <c r="AD7" s="3">
        <f>VLOOKUP(AC7,$O$5:$W$26,9,FALSE)</f>
        <v>3</v>
      </c>
      <c r="AE7" s="3">
        <f t="shared" si="2"/>
        <v>0</v>
      </c>
      <c r="AG7" s="3" t="str">
        <f>IF(AC7=AG$5,AC$5,AC7)</f>
        <v>Испания</v>
      </c>
      <c r="AH7" s="3">
        <f>VLOOKUP(AG7,$O$5:$W$26,9,FALSE)</f>
        <v>3</v>
      </c>
      <c r="AI7" s="3">
        <f>VLOOKUP(AG7,$O$5:$W$26,8,FALSE)</f>
        <v>0</v>
      </c>
      <c r="AJ7" s="3" t="str">
        <f>IF(AG7=AJ$6,AG$6,AG7)</f>
        <v>Испания</v>
      </c>
      <c r="AK7" s="3">
        <f>VLOOKUP(AJ7,$O$5:$W$26,9,FALSE)</f>
        <v>3</v>
      </c>
      <c r="AL7" s="3">
        <f>VLOOKUP(AJ7,$O$5:$W$26,8,FALSE)</f>
        <v>0</v>
      </c>
      <c r="AM7" s="3" t="str">
        <f>IF(AL7&gt;=AL8,AJ7,AJ8)</f>
        <v>Испания</v>
      </c>
      <c r="AN7" s="3">
        <f>VLOOKUP(AM7,$O$5:$W$26,9,FALSE)</f>
        <v>3</v>
      </c>
      <c r="AO7" s="3">
        <f>VLOOKUP(AM7,$O$5:$W$26,8,FALSE)</f>
        <v>0</v>
      </c>
      <c r="AP7" s="3">
        <v>3</v>
      </c>
      <c r="AQ7" s="3">
        <f>VLOOKUP(AM7,$O$5:$W$26,6,FALSE)</f>
        <v>0</v>
      </c>
      <c r="AS7" s="3" t="str">
        <f>IF(AM7=AS$5,AM$5,AM7)</f>
        <v>Испания</v>
      </c>
      <c r="AT7" s="3">
        <f>VLOOKUP(AS7,$O$5:$W$26,9,FALSE)</f>
        <v>3</v>
      </c>
      <c r="AU7" s="3">
        <f>VLOOKUP(AS7,$O$5:$W$26,6,FALSE)</f>
        <v>0</v>
      </c>
      <c r="AV7" s="3" t="str">
        <f>IF(AS7=AV$6,AS$6,AS7)</f>
        <v>Испания</v>
      </c>
      <c r="AW7" s="3">
        <f>VLOOKUP(AV7,$O$5:$W$26,9,FALSE)</f>
        <v>3</v>
      </c>
      <c r="AX7" s="3">
        <f>VLOOKUP(AV7,$O$5:$W$26,6,FALSE)</f>
        <v>0</v>
      </c>
      <c r="AY7" s="3" t="str">
        <f>IF(AX7&gt;=AX8,AV7,AV8)</f>
        <v>Испания</v>
      </c>
      <c r="AZ7" s="3">
        <f>VLOOKUP(AY7,$O$5:$W$26,9,FALSE)</f>
        <v>3</v>
      </c>
      <c r="BA7" s="3">
        <f>VLOOKUP(AY7,$O$5:$W$26,6,FALSE)</f>
        <v>0</v>
      </c>
      <c r="BB7" s="3">
        <v>3</v>
      </c>
      <c r="BD7" s="3" t="str">
        <f>IF(AC7=BD$5,AC$5,AC7)</f>
        <v>Испания</v>
      </c>
      <c r="BE7" s="3">
        <f>VLOOKUP(BD7,$O$5:$W$26,9,FALSE)</f>
        <v>3</v>
      </c>
      <c r="BF7" s="3">
        <f>VLOOKUP(BD7,$O$5:$W$26,8,FALSE)</f>
        <v>0</v>
      </c>
      <c r="BG7" s="3" t="str">
        <f>IF(BD7=BG$6,BD$6,BD7)</f>
        <v>Испания</v>
      </c>
      <c r="BH7" s="3">
        <f>VLOOKUP(BG7,$O$5:$W$26,9,FALSE)</f>
        <v>3</v>
      </c>
      <c r="BI7" s="3">
        <f>VLOOKUP(BG7,$O$5:$W$26,8,FALSE)</f>
        <v>0</v>
      </c>
      <c r="BJ7" s="3" t="str">
        <f>IF(BH7=BH8,IF(BI7&gt;=BI8,BG7,BG8),BG7)</f>
        <v>Испания</v>
      </c>
      <c r="BK7" s="3">
        <f>VLOOKUP(BJ7,$O$5:$W$26,9,FALSE)</f>
        <v>3</v>
      </c>
      <c r="BL7" s="3">
        <f>VLOOKUP(BJ7,$O$5:$W$26,8,FALSE)</f>
        <v>0</v>
      </c>
      <c r="BM7" s="3">
        <f>VLOOKUP(BJ7,$O$5:$W$26,6,FALSE)</f>
        <v>0</v>
      </c>
      <c r="BO7" s="3" t="str">
        <f>IF(BJ7=BO$5,BJ$5,BJ7)</f>
        <v>Испания</v>
      </c>
      <c r="BP7" s="3">
        <f>VLOOKUP(BO7,$O$5:$W$26,9,FALSE)</f>
        <v>3</v>
      </c>
      <c r="BQ7" s="3">
        <f>VLOOKUP(BO7,$O$5:$W$26,8,FALSE)</f>
        <v>0</v>
      </c>
      <c r="BR7" s="3">
        <f>VLOOKUP(BO7,$O$5:$W$26,6,FALSE)</f>
        <v>0</v>
      </c>
      <c r="BS7" s="3" t="str">
        <f>IF(BO7=BS$6,BO$6,BO7)</f>
        <v>Испания</v>
      </c>
      <c r="BT7" s="3">
        <f>VLOOKUP(BS7,$O$5:$W$26,9,FALSE)</f>
        <v>3</v>
      </c>
      <c r="BU7" s="3">
        <f>VLOOKUP(BS7,$O$5:$W$26,8,FALSE)</f>
        <v>0</v>
      </c>
      <c r="BV7" s="3">
        <f>VLOOKUP(BS7,$O$5:$W$26,6,FALSE)</f>
        <v>0</v>
      </c>
      <c r="BW7" s="3" t="str">
        <f>IF(AND(BT7=BT8,BU7=BU8),IF(BV7&gt;=BV8,BS7,BS8),BS7)</f>
        <v>Испания</v>
      </c>
      <c r="BX7" s="3">
        <f>VLOOKUP(BW7,$O$5:$W$26,9,FALSE)</f>
        <v>3</v>
      </c>
      <c r="BY7" s="3">
        <f>VLOOKUP(BW7,$O$5:$W$26,8,FALSE)</f>
        <v>0</v>
      </c>
      <c r="BZ7" s="3">
        <f>VLOOKUP(BW7,$O$5:$W$26,6,FALSE)</f>
        <v>0</v>
      </c>
      <c r="CB7" s="3">
        <f>VLOOKUP($BW7,General!$AA$5:$AI$26,8,FALSE)</f>
        <v>0</v>
      </c>
      <c r="CC7" s="3">
        <f>VLOOKUP($BW7,General!$AA$5:$AI$26,6,FALSE)</f>
        <v>0</v>
      </c>
      <c r="CE7" s="26" t="str">
        <f>IF(BW7=CE$5,BW$5,BW7)</f>
        <v>Испания</v>
      </c>
      <c r="CF7" s="18" t="str">
        <f>IF(BW7=CF$5,BW$5,BW7)</f>
        <v>Испания</v>
      </c>
      <c r="CG7" s="6">
        <f>VLOOKUP(CF7,General!$AA$5:$AI$26,8,FALSE)</f>
        <v>0</v>
      </c>
      <c r="CH7" s="6">
        <f>VLOOKUP(CF7,General!$AA$5:$AI$26,6,FALSE)</f>
        <v>0</v>
      </c>
      <c r="CI7" s="28" t="str">
        <f>IF(CF7=CI$6,CF$6,CF7)</f>
        <v>Испания</v>
      </c>
      <c r="CJ7" s="26" t="str">
        <f>BW7</f>
        <v>Испания</v>
      </c>
      <c r="CK7" s="26" t="str">
        <f>IF(BW7=CK$6,BW$6,BW7)</f>
        <v>Испания</v>
      </c>
      <c r="CL7" s="26" t="str">
        <f>BW7</f>
        <v>Испания</v>
      </c>
      <c r="CM7" s="26" t="str">
        <f>CS7</f>
        <v>Испания</v>
      </c>
      <c r="CN7" s="26" t="str">
        <f>CS7</f>
        <v>Испания</v>
      </c>
      <c r="CP7" s="31" t="str">
        <f>HLOOKUP("YES",CE$4:CN$8,4,FALSE)</f>
        <v>Испания</v>
      </c>
      <c r="CS7" s="3" t="str">
        <f t="shared" si="3"/>
        <v>Испания</v>
      </c>
      <c r="CT7" s="3">
        <f>VLOOKUP($CS7,General!$AA$5:$AI$26,9,FALSE)</f>
        <v>0</v>
      </c>
      <c r="CU7" s="3">
        <f>VLOOKUP($CS7,General!$AA$5:$AI$26,8,FALSE)</f>
        <v>0</v>
      </c>
      <c r="CV7" s="3">
        <f>VLOOKUP($CS7,General!$AA$5:$AI$26,6,FALSE)</f>
        <v>0</v>
      </c>
      <c r="CX7" s="3" t="str">
        <f>IF(BW7=CX$5,BW$5,BW7)</f>
        <v>Испания</v>
      </c>
      <c r="CY7" s="3" t="str">
        <f>IF(CX7=CY$6,CX$6,CX7)</f>
        <v>Испания</v>
      </c>
      <c r="DD7" s="3" t="str">
        <f>IF(OR(AD7=AD8,AD7=AD6),"X","")</f>
        <v>X</v>
      </c>
      <c r="DE7" s="3" t="str">
        <f>IF(DD7="x",IF(AD7=AD8,"y",""),"")</f>
        <v>y</v>
      </c>
      <c r="DF7" s="3" t="str">
        <f>IF(DD7="x",AC7,"")</f>
        <v>Испания</v>
      </c>
    </row>
    <row r="8" spans="1:110" ht="11.25">
      <c r="A8" s="1" t="str">
        <f>General!B8</f>
        <v>14.06.04</v>
      </c>
      <c r="B8" s="2">
        <f>General!C8</f>
        <v>0.8229166666666666</v>
      </c>
      <c r="C8" s="1" t="str">
        <f>General!D8</f>
        <v>José Alvalade, Lisboa</v>
      </c>
      <c r="D8" s="3" t="str">
        <f>General!E8</f>
        <v>C</v>
      </c>
      <c r="E8" s="1" t="str">
        <f>General!F8</f>
        <v>C1</v>
      </c>
      <c r="F8" s="1" t="str">
        <f>General!G8</f>
        <v>C2</v>
      </c>
      <c r="G8" s="3" t="str">
        <f>General!H8</f>
        <v>Швеция</v>
      </c>
      <c r="H8" s="3" t="str">
        <f>General!I8</f>
        <v>Болгария</v>
      </c>
      <c r="I8" s="3">
        <f>IF(OR(OR($O$39=$G8,$O$40=$G8,$O$41=$G8,$O$42=$G8,$O$43=$G8,$O$44=$G8,$O$45=$G8,$O$46=$G8,$O$47=$G8,O$48=$G8,$O$49=$G8,$O$50=$G8,$O$51=$G8,$O$52=$G8,$O$53=$G8,$O$54=$G8),OR($O$39=$H8,$O$40=$H8,$O$41=$H8,O$42=$H8,$O$43=$H8,$O$44=$H8,$O$45=$H8,$O$46=$H8,$O$47=$H8,$O$48=$H8,$O$49=$H8,$O$50=$H8,$O$51=$H8,$O$52=$H8,$O$53=$H8,$O$54=$H8)),"",General!J8)</f>
        <v>0</v>
      </c>
      <c r="J8" s="3">
        <f>IF(OR(OR($O$39=$G8,$O$40=$G8,$O$41=$G8,$O$42=$G8,$O$43=$G8,$O$44=$G8,$O$45=$G8,$O$46=$G8,$O$47=$G8,P$48=$G8,$O$49=$G8,$O$50=$G8,$O$51=$G8,$O$52=$G8,$O$53=$G8,$O$54=$G8),OR($O$39=$H8,$O$40=$H8,$O$41=$H8,O$42=$H8,$O$43=$H8,$O$44=$H8,$O$45=$H8,$O$46=$H8,$O$47=$H8,$O$48=$H8,$O$49=$H8,$O$50=$H8,$O$51=$H8,$O$52=$H8,$O$53=$H8,$O$54=$H8)),"",General!K8)</f>
        <v>0</v>
      </c>
      <c r="K8" s="3">
        <f t="shared" si="0"/>
      </c>
      <c r="L8" s="3">
        <f t="shared" si="1"/>
      </c>
      <c r="M8" s="3">
        <f>General!N8</f>
        <v>0</v>
      </c>
      <c r="N8" s="8" t="str">
        <f>General!Z8</f>
        <v>A4</v>
      </c>
      <c r="O8" s="8" t="str">
        <f>Teams!B5</f>
        <v>Россия</v>
      </c>
      <c r="P8" s="3">
        <f>COUNT(MA_A4_Pld)</f>
        <v>3</v>
      </c>
      <c r="Q8" s="9">
        <f>COUNTIF($K$3:$K$26,O8)</f>
        <v>0</v>
      </c>
      <c r="R8" s="9">
        <f>COUNTIF($L$3:$L$26,O8)</f>
        <v>0</v>
      </c>
      <c r="S8" s="9">
        <f>P8-Q8-R8</f>
        <v>3</v>
      </c>
      <c r="T8" s="3">
        <f>SUM(MA_A4_Pld)</f>
        <v>0</v>
      </c>
      <c r="U8" s="9">
        <f>SUM(MA_A4_against)</f>
        <v>0</v>
      </c>
      <c r="V8" s="9">
        <f>T8-U8</f>
        <v>0</v>
      </c>
      <c r="W8" s="9">
        <f>Q8*3+S8*1-IF(OR(O$39=O8,O$40=O8,O$41=O8,O$42=O8,O$43=O8,O$44=O8,O$45=O8,O$46=O8,O$47=O8,O$48=O8,O$49=O8,O$50=O8,O$51=O8,O$52=O8,O$53=O8,O$54=O8),1,0)</f>
        <v>3</v>
      </c>
      <c r="Y8" s="3" t="str">
        <f>IF(O8=Y$5,O$5,O8)</f>
        <v>Россия</v>
      </c>
      <c r="Z8" s="3">
        <f>VLOOKUP(Y8,$O$5:$W$26,9,FALSE)</f>
        <v>3</v>
      </c>
      <c r="AA8" s="3" t="str">
        <f>IF(Y8=AA$6,Y$6,Y8)</f>
        <v>Россия</v>
      </c>
      <c r="AB8" s="3">
        <f>VLOOKUP(AA8,$O$5:$W$26,9,FALSE)</f>
        <v>3</v>
      </c>
      <c r="AC8" s="3" t="str">
        <f>IF(AA8=AC7,AA7,AA8)</f>
        <v>Россия</v>
      </c>
      <c r="AD8" s="3">
        <f>VLOOKUP(AC8,$O$5:$W$26,9,FALSE)</f>
        <v>3</v>
      </c>
      <c r="AE8" s="3">
        <f t="shared" si="2"/>
        <v>0</v>
      </c>
      <c r="AG8" s="3" t="str">
        <f>IF(AC8=AG$5,AC$5,AC8)</f>
        <v>Россия</v>
      </c>
      <c r="AH8" s="3">
        <f>VLOOKUP(AG8,$O$5:$W$26,9,FALSE)</f>
        <v>3</v>
      </c>
      <c r="AI8" s="3">
        <f>VLOOKUP(AG8,$O$5:$W$26,8,FALSE)</f>
        <v>0</v>
      </c>
      <c r="AJ8" s="3" t="str">
        <f>IF(AG8=AJ$6,AG$6,AG8)</f>
        <v>Россия</v>
      </c>
      <c r="AK8" s="3">
        <f>VLOOKUP(AJ8,$O$5:$W$26,9,FALSE)</f>
        <v>3</v>
      </c>
      <c r="AL8" s="3">
        <f>VLOOKUP(AJ8,$O$5:$W$26,8,FALSE)</f>
        <v>0</v>
      </c>
      <c r="AM8" s="3" t="str">
        <f>IF(AJ8=AM7,AJ7,AJ8)</f>
        <v>Россия</v>
      </c>
      <c r="AN8" s="3">
        <f>VLOOKUP(AM8,$O$5:$W$26,9,FALSE)</f>
        <v>3</v>
      </c>
      <c r="AO8" s="3">
        <f>VLOOKUP(AM8,$O$5:$W$26,8,FALSE)</f>
        <v>0</v>
      </c>
      <c r="AP8" s="3">
        <v>4</v>
      </c>
      <c r="AQ8" s="3">
        <f>VLOOKUP(AM8,$O$5:$W$26,6,FALSE)</f>
        <v>0</v>
      </c>
      <c r="AS8" s="3" t="str">
        <f>IF(AM8=AS$5,AM$5,AM8)</f>
        <v>Россия</v>
      </c>
      <c r="AT8" s="3">
        <f>VLOOKUP(AS8,$O$5:$W$26,9,FALSE)</f>
        <v>3</v>
      </c>
      <c r="AU8" s="3">
        <f>VLOOKUP(AS8,$O$5:$W$26,6,FALSE)</f>
        <v>0</v>
      </c>
      <c r="AV8" s="3" t="str">
        <f>IF(AS8=AV$6,AS$6,AS8)</f>
        <v>Россия</v>
      </c>
      <c r="AW8" s="3">
        <f>VLOOKUP(AV8,$O$5:$W$26,9,FALSE)</f>
        <v>3</v>
      </c>
      <c r="AX8" s="3">
        <f>VLOOKUP(AV8,$O$5:$W$26,6,FALSE)</f>
        <v>0</v>
      </c>
      <c r="AY8" s="3" t="str">
        <f>IF(AV8=AY7,AV7,AV8)</f>
        <v>Россия</v>
      </c>
      <c r="AZ8" s="3">
        <f>VLOOKUP(AY8,$O$5:$W$26,9,FALSE)</f>
        <v>3</v>
      </c>
      <c r="BA8" s="3">
        <f>VLOOKUP(AY8,$O$5:$W$26,6,FALSE)</f>
        <v>0</v>
      </c>
      <c r="BB8" s="3">
        <v>4</v>
      </c>
      <c r="BD8" s="3" t="str">
        <f>IF(AC8=BD$5,AC$5,AC8)</f>
        <v>Россия</v>
      </c>
      <c r="BE8" s="3">
        <f>VLOOKUP(BD8,$O$5:$W$26,9,FALSE)</f>
        <v>3</v>
      </c>
      <c r="BF8" s="3">
        <f>VLOOKUP(BD8,$O$5:$W$26,8,FALSE)</f>
        <v>0</v>
      </c>
      <c r="BG8" s="3" t="str">
        <f>IF(BD8=BG$6,BD$6,BD8)</f>
        <v>Россия</v>
      </c>
      <c r="BH8" s="3">
        <f>VLOOKUP(BG8,$O$5:$W$26,9,FALSE)</f>
        <v>3</v>
      </c>
      <c r="BI8" s="3">
        <f>VLOOKUP(BG8,$O$5:$W$26,8,FALSE)</f>
        <v>0</v>
      </c>
      <c r="BJ8" s="3" t="str">
        <f>IF(BG8=BJ7,BG7,BG8)</f>
        <v>Россия</v>
      </c>
      <c r="BK8" s="3">
        <f>VLOOKUP(BJ8,$O$5:$W$26,9,FALSE)</f>
        <v>3</v>
      </c>
      <c r="BL8" s="3">
        <f>VLOOKUP(BJ8,$O$5:$W$26,8,FALSE)</f>
        <v>0</v>
      </c>
      <c r="BM8" s="3">
        <f>VLOOKUP(BJ8,$O$5:$W$26,6,FALSE)</f>
        <v>0</v>
      </c>
      <c r="BO8" s="3" t="str">
        <f>IF(BJ8=BO$5,BJ$5,BJ8)</f>
        <v>Россия</v>
      </c>
      <c r="BP8" s="3">
        <f>VLOOKUP(BO8,$O$5:$W$26,9,FALSE)</f>
        <v>3</v>
      </c>
      <c r="BQ8" s="3">
        <f>VLOOKUP(BO8,$O$5:$W$26,8,FALSE)</f>
        <v>0</v>
      </c>
      <c r="BR8" s="3">
        <f>VLOOKUP(BO8,$O$5:$W$26,6,FALSE)</f>
        <v>0</v>
      </c>
      <c r="BS8" s="3" t="str">
        <f>IF(BO8=BS$6,BO$6,BO8)</f>
        <v>Россия</v>
      </c>
      <c r="BT8" s="3">
        <f>VLOOKUP(BS8,$O$5:$W$26,9,FALSE)</f>
        <v>3</v>
      </c>
      <c r="BU8" s="3">
        <f>VLOOKUP(BS8,$O$5:$W$26,8,FALSE)</f>
        <v>0</v>
      </c>
      <c r="BV8" s="3">
        <f>VLOOKUP(BS8,$O$5:$W$26,6,FALSE)</f>
        <v>0</v>
      </c>
      <c r="BW8" s="3" t="str">
        <f>IF(BS8=BW7,BS7,BS8)</f>
        <v>Россия</v>
      </c>
      <c r="BX8" s="3">
        <f>VLOOKUP(BW8,$O$5:$W$26,9,FALSE)</f>
        <v>3</v>
      </c>
      <c r="BY8" s="3">
        <f>VLOOKUP(BW8,$O$5:$W$26,8,FALSE)</f>
        <v>0</v>
      </c>
      <c r="BZ8" s="3">
        <f>VLOOKUP(BW8,$O$5:$W$26,6,FALSE)</f>
        <v>0</v>
      </c>
      <c r="CB8" s="3">
        <f>VLOOKUP($BW8,General!$AA$5:$AI$26,8,FALSE)</f>
        <v>0</v>
      </c>
      <c r="CC8" s="3">
        <f>VLOOKUP($BW8,General!$AA$5:$AI$26,6,FALSE)</f>
        <v>0</v>
      </c>
      <c r="CE8" s="26" t="str">
        <f>IF(BW8=CE$5,BW$5,BW8)</f>
        <v>Россия</v>
      </c>
      <c r="CF8" s="18" t="str">
        <f>IF(BW8=CF$5,BW$5,BW8)</f>
        <v>Россия</v>
      </c>
      <c r="CG8" s="6">
        <f>VLOOKUP(CF8,General!$AA$5:$AI$26,8,FALSE)</f>
        <v>0</v>
      </c>
      <c r="CH8" s="6">
        <f>VLOOKUP(CF8,General!$AA$5:$AI$26,6,FALSE)</f>
        <v>0</v>
      </c>
      <c r="CI8" s="28" t="str">
        <f>IF(CF8=CI$6,CF$6,CF8)</f>
        <v>Россия</v>
      </c>
      <c r="CJ8" s="26" t="str">
        <f>BW8</f>
        <v>Россия</v>
      </c>
      <c r="CK8" s="26" t="str">
        <f>IF(BW8=CK$6,BW$6,BW8)</f>
        <v>Россия</v>
      </c>
      <c r="CL8" s="26" t="str">
        <f>BW8</f>
        <v>Россия</v>
      </c>
      <c r="CM8" s="26" t="str">
        <f>CS8</f>
        <v>Россия</v>
      </c>
      <c r="CN8" s="26" t="str">
        <f>CS8</f>
        <v>Россия</v>
      </c>
      <c r="CP8" s="31" t="str">
        <f>HLOOKUP("YES",CE$4:CN$8,5,FALSE)</f>
        <v>Россия</v>
      </c>
      <c r="CS8" s="3" t="str">
        <f t="shared" si="3"/>
        <v>Россия</v>
      </c>
      <c r="CT8" s="3">
        <f>VLOOKUP($CS8,General!$AA$5:$AI$26,9,FALSE)</f>
        <v>0</v>
      </c>
      <c r="CU8" s="3">
        <f>VLOOKUP($CS8,General!$AA$5:$AI$26,8,FALSE)</f>
        <v>0</v>
      </c>
      <c r="CV8" s="3">
        <f>VLOOKUP($CS8,General!$AA$5:$AI$26,6,FALSE)</f>
        <v>0</v>
      </c>
      <c r="CX8" s="3" t="str">
        <f>IF(BW8=CX$5,BW$5,BW8)</f>
        <v>Россия</v>
      </c>
      <c r="CY8" s="3" t="str">
        <f>IF(CX8=CY$6,CX$6,CX8)</f>
        <v>Россия</v>
      </c>
      <c r="DD8" s="3" t="str">
        <f>IF(OR(AD8=AD9,AD8=AD7),"X","")</f>
        <v>X</v>
      </c>
      <c r="DE8" s="3">
        <f>IF(DD8="x",IF(AD8=AD9,"y",""),"")</f>
      </c>
      <c r="DF8" s="3" t="str">
        <f>IF(DD8="x",AC8,"")</f>
        <v>Россия</v>
      </c>
    </row>
    <row r="9" spans="1:111" ht="11.25">
      <c r="A9" s="1" t="str">
        <f>General!B9</f>
        <v>15.06.04</v>
      </c>
      <c r="B9" s="2">
        <f>General!C9</f>
        <v>0.7083333333333334</v>
      </c>
      <c r="C9" s="1" t="str">
        <f>General!D9</f>
        <v>Municipal, Aveiro</v>
      </c>
      <c r="D9" s="3" t="str">
        <f>General!E9</f>
        <v>D</v>
      </c>
      <c r="E9" s="1" t="str">
        <f>General!F9</f>
        <v>D1</v>
      </c>
      <c r="F9" s="1" t="str">
        <f>General!G9</f>
        <v>D2</v>
      </c>
      <c r="G9" s="3" t="str">
        <f>General!H9</f>
        <v>Чехия</v>
      </c>
      <c r="H9" s="3" t="str">
        <f>General!I9</f>
        <v>Латвия</v>
      </c>
      <c r="I9" s="3">
        <f>IF(OR(OR($O$39=$G9,$O$40=$G9,$O$41=$G9,$O$42=$G9,$O$43=$G9,$O$44=$G9,$O$45=$G9,$O$46=$G9,$O$47=$G9,O$48=$G9,$O$49=$G9,$O$50=$G9,$O$51=$G9,$O$52=$G9,$O$53=$G9,$O$54=$G9),OR($O$39=$H9,$O$40=$H9,$O$41=$H9,O$42=$H9,$O$43=$H9,$O$44=$H9,$O$45=$H9,$O$46=$H9,$O$47=$H9,$O$48=$H9,$O$49=$H9,$O$50=$H9,$O$51=$H9,$O$52=$H9,$O$53=$H9,$O$54=$H9)),"",General!J9)</f>
        <v>0</v>
      </c>
      <c r="J9" s="3">
        <f>IF(OR(OR($O$39=$G9,$O$40=$G9,$O$41=$G9,$O$42=$G9,$O$43=$G9,$O$44=$G9,$O$45=$G9,$O$46=$G9,$O$47=$G9,P$48=$G9,$O$49=$G9,$O$50=$G9,$O$51=$G9,$O$52=$G9,$O$53=$G9,$O$54=$G9),OR($O$39=$H9,$O$40=$H9,$O$41=$H9,O$42=$H9,$O$43=$H9,$O$44=$H9,$O$45=$H9,$O$46=$H9,$O$47=$H9,$O$48=$H9,$O$49=$H9,$O$50=$H9,$O$51=$H9,$O$52=$H9,$O$53=$H9,$O$54=$H9)),"",General!K9)</f>
        <v>0</v>
      </c>
      <c r="K9" s="3">
        <f t="shared" si="0"/>
      </c>
      <c r="L9" s="3">
        <f t="shared" si="1"/>
      </c>
      <c r="M9" s="3">
        <f>General!N9</f>
        <v>0</v>
      </c>
      <c r="N9" s="3">
        <f>General!Z9</f>
        <v>0</v>
      </c>
      <c r="O9" s="4" t="s">
        <v>105</v>
      </c>
      <c r="P9" s="5"/>
      <c r="Q9" s="5"/>
      <c r="R9" s="5"/>
      <c r="S9" s="5"/>
      <c r="T9" s="5"/>
      <c r="U9" s="5"/>
      <c r="V9" s="5"/>
      <c r="W9" s="5"/>
      <c r="AD9" s="3" t="s">
        <v>75</v>
      </c>
      <c r="BX9" s="3">
        <f>4-COUNTIF(BX5:BX8,-1)</f>
        <v>4</v>
      </c>
      <c r="CE9" s="26"/>
      <c r="CF9" s="18"/>
      <c r="CG9" s="6"/>
      <c r="CH9" s="6"/>
      <c r="CI9" s="28"/>
      <c r="CJ9" s="26"/>
      <c r="CK9" s="26"/>
      <c r="CL9" s="26"/>
      <c r="CM9" s="26"/>
      <c r="CN9" s="26"/>
      <c r="CP9" s="31"/>
      <c r="DD9" s="3">
        <f>COUNTIF(DD5:DD8,"X")</f>
        <v>4</v>
      </c>
      <c r="DE9" s="3">
        <f>COUNTIF(DE5:DE8,"y")</f>
        <v>3</v>
      </c>
      <c r="DG9" s="3" t="b">
        <f>OR(DD9=2,AND(DD9=4,DE9&lt;3))</f>
        <v>0</v>
      </c>
    </row>
    <row r="10" spans="1:94" ht="11.25">
      <c r="A10" s="1" t="str">
        <f>General!B10</f>
        <v>15.06.04</v>
      </c>
      <c r="B10" s="2">
        <f>General!C10</f>
        <v>0.8229166666666666</v>
      </c>
      <c r="C10" s="1" t="str">
        <f>General!D10</f>
        <v>Dragão, Porto</v>
      </c>
      <c r="D10" s="3" t="str">
        <f>General!E10</f>
        <v>D</v>
      </c>
      <c r="E10" s="1" t="str">
        <f>General!F10</f>
        <v>D3</v>
      </c>
      <c r="F10" s="1" t="str">
        <f>General!G10</f>
        <v>D4</v>
      </c>
      <c r="G10" s="3" t="str">
        <f>General!H10</f>
        <v>Германия</v>
      </c>
      <c r="H10" s="3" t="str">
        <f>General!I10</f>
        <v>Нидерланды</v>
      </c>
      <c r="I10" s="3">
        <f>IF(OR(OR($O$39=$G10,$O$40=$G10,$O$41=$G10,$O$42=$G10,$O$43=$G10,$O$44=$G10,$O$45=$G10,$O$46=$G10,$O$47=$G10,O$48=$G10,$O$49=$G10,$O$50=$G10,$O$51=$G10,$O$52=$G10,$O$53=$G10,$O$54=$G10),OR($O$39=$H10,$O$40=$H10,$O$41=$H10,O$42=$H10,$O$43=$H10,$O$44=$H10,$O$45=$H10,$O$46=$H10,$O$47=$H10,$O$48=$H10,$O$49=$H10,$O$50=$H10,$O$51=$H10,$O$52=$H10,$O$53=$H10,$O$54=$H10)),"",General!J10)</f>
        <v>0</v>
      </c>
      <c r="J10" s="3">
        <f>IF(OR(OR($O$39=$G10,$O$40=$G10,$O$41=$G10,$O$42=$G10,$O$43=$G10,$O$44=$G10,$O$45=$G10,$O$46=$G10,$O$47=$G10,P$48=$G10,$O$49=$G10,$O$50=$G10,$O$51=$G10,$O$52=$G10,$O$53=$G10,$O$54=$G10),OR($O$39=$H10,$O$40=$H10,$O$41=$H10,O$42=$H10,$O$43=$H10,$O$44=$H10,$O$45=$H10,$O$46=$H10,$O$47=$H10,$O$48=$H10,$O$49=$H10,$O$50=$H10,$O$51=$H10,$O$52=$H10,$O$53=$H10,$O$54=$H10)),"",General!K10)</f>
        <v>0</v>
      </c>
      <c r="K10" s="3">
        <f t="shared" si="0"/>
      </c>
      <c r="L10" s="3">
        <f t="shared" si="1"/>
      </c>
      <c r="M10" s="3">
        <f>General!N10</f>
        <v>0</v>
      </c>
      <c r="N10" s="3">
        <f>General!Z10</f>
        <v>0</v>
      </c>
      <c r="O10" s="6"/>
      <c r="P10" s="7" t="s">
        <v>65</v>
      </c>
      <c r="Q10" s="7" t="s">
        <v>66</v>
      </c>
      <c r="R10" s="7" t="s">
        <v>67</v>
      </c>
      <c r="S10" s="7" t="s">
        <v>43</v>
      </c>
      <c r="T10" s="7" t="s">
        <v>68</v>
      </c>
      <c r="U10" s="7" t="s">
        <v>34</v>
      </c>
      <c r="V10" s="7" t="s">
        <v>69</v>
      </c>
      <c r="W10" s="7" t="s">
        <v>70</v>
      </c>
      <c r="CE10" s="26" t="str">
        <f>IF(OR(BX15=2,BX15=4),"YES","NO")</f>
        <v>YES</v>
      </c>
      <c r="CF10" s="18"/>
      <c r="CG10" s="6"/>
      <c r="CH10" s="6"/>
      <c r="CI10" s="28" t="str">
        <f>IF(AND(BY11=BY12,BY12=BY13,BZ11=BZ12,BZ12=BZ13,BX15=3),"YES","NO")</f>
        <v>NO</v>
      </c>
      <c r="CJ10" s="26" t="str">
        <f>IF(OR(AND(BX15=3,BY11=BY12,BY12&lt;&gt;BY13,BZ11=BZ12),AND(BX15=3,BY11=BY12,BY12=BY13,BZ11=BZ12,BZ12&lt;&gt;BZ13)),"YES","NO")</f>
        <v>NO</v>
      </c>
      <c r="CK10" s="26" t="str">
        <f>IF(OR(AND(BX15=3,BY11&lt;&gt;BY12,BY12=BY13,BZ12=BZ13),AND(BY11=BY12,BY12=BY13,BZ11&lt;&gt;BZ12,BZ12=BZ13)),"YES","NO")</f>
        <v>NO</v>
      </c>
      <c r="CL10" s="26" t="str">
        <f>IF(AND(BX15=3,COUNTIF(CI10:CK10,"YES")=0),"YES","NO")</f>
        <v>NO</v>
      </c>
      <c r="CM10" s="26" t="str">
        <f>IF(OR(BX15=1,BX15=0),"YES","NO")</f>
        <v>NO</v>
      </c>
      <c r="CN10" s="26" t="str">
        <f>IF(COUNTIF(CE10:CM10,"YES")&gt;0,"NO","YES")</f>
        <v>NO</v>
      </c>
      <c r="CP10" s="31"/>
    </row>
    <row r="11" spans="1:110" ht="11.25">
      <c r="A11" s="1" t="str">
        <f>General!B11</f>
        <v>16.06.04</v>
      </c>
      <c r="B11" s="2">
        <f>General!C11</f>
        <v>0.7083333333333333</v>
      </c>
      <c r="C11" s="1" t="str">
        <f>General!D11</f>
        <v>Bessa - Séc. XXI, Porto</v>
      </c>
      <c r="D11" s="3" t="str">
        <f>General!E11</f>
        <v>A</v>
      </c>
      <c r="E11" s="1" t="str">
        <f>General!F11</f>
        <v>A2</v>
      </c>
      <c r="F11" s="1" t="str">
        <f>General!G11</f>
        <v>A3</v>
      </c>
      <c r="G11" s="3" t="str">
        <f>General!H11</f>
        <v>Греция</v>
      </c>
      <c r="H11" s="3" t="str">
        <f>General!I11</f>
        <v>Испания</v>
      </c>
      <c r="I11" s="3">
        <f>IF(OR(OR($O$39=$G11,$O$40=$G11,$O$41=$G11,$O$42=$G11,$O$43=$G11,$O$44=$G11,$O$45=$G11,$O$46=$G11,$O$47=$G11,O$48=$G11,$O$49=$G11,$O$50=$G11,$O$51=$G11,$O$52=$G11,$O$53=$G11,$O$54=$G11),OR($O$39=$H11,$O$40=$H11,$O$41=$H11,O$42=$H11,$O$43=$H11,$O$44=$H11,$O$45=$H11,$O$46=$H11,$O$47=$H11,$O$48=$H11,$O$49=$H11,$O$50=$H11,$O$51=$H11,$O$52=$H11,$O$53=$H11,$O$54=$H11)),"",General!J11)</f>
        <v>0</v>
      </c>
      <c r="J11" s="3">
        <f>IF(OR(OR($O$39=$G11,$O$40=$G11,$O$41=$G11,$O$42=$G11,$O$43=$G11,$O$44=$G11,$O$45=$G11,$O$46=$G11,$O$47=$G11,P$48=$G11,$O$49=$G11,$O$50=$G11,$O$51=$G11,$O$52=$G11,$O$53=$G11,$O$54=$G11),OR($O$39=$H11,$O$40=$H11,$O$41=$H11,O$42=$H11,$O$43=$H11,$O$44=$H11,$O$45=$H11,$O$46=$H11,$O$47=$H11,$O$48=$H11,$O$49=$H11,$O$50=$H11,$O$51=$H11,$O$52=$H11,$O$53=$H11,$O$54=$H11)),"",General!K11)</f>
        <v>0</v>
      </c>
      <c r="K11" s="3">
        <f t="shared" si="0"/>
      </c>
      <c r="L11" s="3">
        <f t="shared" si="1"/>
      </c>
      <c r="M11" s="3">
        <f>General!N11</f>
        <v>0</v>
      </c>
      <c r="N11" s="8" t="str">
        <f>General!Z11</f>
        <v>B1</v>
      </c>
      <c r="O11" s="8" t="str">
        <f>Teams!B6</f>
        <v>Франция</v>
      </c>
      <c r="P11" s="3">
        <f>COUNT(MA_B1_Pld)</f>
        <v>3</v>
      </c>
      <c r="Q11" s="9">
        <f>COUNTIF($K$3:$K$26,O11)</f>
        <v>0</v>
      </c>
      <c r="R11" s="9">
        <f>COUNTIF($L$3:$L$26,O11)</f>
        <v>0</v>
      </c>
      <c r="S11" s="9">
        <f>P11-Q11-R11</f>
        <v>3</v>
      </c>
      <c r="T11" s="3">
        <f>SUM(MA_B1_Pld)</f>
        <v>0</v>
      </c>
      <c r="U11" s="9">
        <f>SUM(MA_B1_against)</f>
        <v>0</v>
      </c>
      <c r="V11" s="9">
        <f>T11-U11</f>
        <v>0</v>
      </c>
      <c r="W11" s="9">
        <f>Q11*3+S11*1-IF(OR(O$39=O11,O$40=O11,O$41=O11,O$42=O11,O$43=O11,O$44=O11,O$45=O11,O$46=O11,O$47=O11,O$48=O11,O$49=O11,O$50=O11,O$51=O11,O$52=O11,O$53=O11,O$54=O11),1,0)</f>
        <v>3</v>
      </c>
      <c r="Y11" s="3" t="str">
        <f>IF(W11&gt;=W12,IF(W11&gt;=W13,IF(W11&gt;=W14,O11,O14),IF(W13&gt;=W12,IF(W13&gt;=W14,O13,O14),IF(W12&gt;=W14,O12,O14))),IF(W12&gt;=W13,IF(W12&gt;=W14,O12,O14),IF(W13&gt;=W14,O13,O14)))</f>
        <v>Франция</v>
      </c>
      <c r="Z11" s="3">
        <f>VLOOKUP(Y11,$O$5:$W$26,9,FALSE)</f>
        <v>3</v>
      </c>
      <c r="AA11" s="3" t="str">
        <f>Y11</f>
        <v>Франция</v>
      </c>
      <c r="AB11" s="3">
        <f>VLOOKUP(AA11,$O$5:$W$26,9,FALSE)</f>
        <v>3</v>
      </c>
      <c r="AC11" s="3" t="str">
        <f>AA11</f>
        <v>Франция</v>
      </c>
      <c r="AD11" s="3">
        <f>VLOOKUP(AC11,$O$5:$W$26,9,FALSE)</f>
        <v>3</v>
      </c>
      <c r="AE11" s="3">
        <f t="shared" si="2"/>
        <v>0</v>
      </c>
      <c r="AG11" s="3" t="str">
        <f>IF(AE11&gt;=AE12,IF(AE11&gt;=AE13,IF(AE11&gt;=AE14,AC11,AC14),IF(AE13&gt;=AE12,IF(AE13&gt;=AE14,AC13,AC14),IF(AE12&gt;=AE14,AC12,AC14))),IF(AE12&gt;=AE13,IF(AE12&gt;=AE14,AC12,AC14),IF(AE13&gt;=AE14,AC13,AC14)))</f>
        <v>Франция</v>
      </c>
      <c r="AH11" s="3">
        <f>VLOOKUP(AG11,$O$5:$W$26,9,FALSE)</f>
        <v>3</v>
      </c>
      <c r="AI11" s="3">
        <f>VLOOKUP(AG11,$O$5:$W$26,8,FALSE)</f>
        <v>0</v>
      </c>
      <c r="AJ11" s="3" t="str">
        <f>AG11</f>
        <v>Франция</v>
      </c>
      <c r="AK11" s="3">
        <f>VLOOKUP(AJ11,$O$5:$W$26,9,FALSE)</f>
        <v>3</v>
      </c>
      <c r="AL11" s="3">
        <f>VLOOKUP(AJ11,$O$5:$W$26,8,FALSE)</f>
        <v>0</v>
      </c>
      <c r="AM11" s="3" t="str">
        <f>AJ11</f>
        <v>Франция</v>
      </c>
      <c r="AN11" s="3">
        <f>VLOOKUP(AM11,$O$5:$W$26,9,FALSE)</f>
        <v>3</v>
      </c>
      <c r="AO11" s="3">
        <f>VLOOKUP(AM11,$O$5:$W$26,8,FALSE)</f>
        <v>0</v>
      </c>
      <c r="AP11" s="3">
        <v>1</v>
      </c>
      <c r="AQ11" s="3">
        <f>VLOOKUP(AM11,$O$5:$W$26,6,FALSE)</f>
        <v>0</v>
      </c>
      <c r="AS11" s="3" t="str">
        <f>IF(AQ11&gt;=AQ12,IF(AQ11&gt;=AQ13,IF(AQ11&gt;=AQ14,AM11,AM14),IF(AQ13&gt;=AQ12,IF(AQ13&gt;=AQ14,AM13,AM14),IF(AQ12&gt;=AQ14,AM12,AM14))),IF(AQ12&gt;=AQ13,IF(AQ12&gt;=AQ14,AM12,AM14),IF(AQ13&gt;=AQ14,AM13,AM14)))</f>
        <v>Франция</v>
      </c>
      <c r="AT11" s="3">
        <f>VLOOKUP(AS11,$O$5:$W$26,9,FALSE)</f>
        <v>3</v>
      </c>
      <c r="AU11" s="3">
        <f>VLOOKUP(AS11,$O$5:$W$26,6,FALSE)</f>
        <v>0</v>
      </c>
      <c r="AV11" s="3" t="str">
        <f>AS11</f>
        <v>Франция</v>
      </c>
      <c r="AW11" s="3">
        <f>VLOOKUP(AV11,$O$5:$W$26,9,FALSE)</f>
        <v>3</v>
      </c>
      <c r="AX11" s="3">
        <f>VLOOKUP(AV11,$O$5:$W$26,6,FALSE)</f>
        <v>0</v>
      </c>
      <c r="AY11" s="3" t="str">
        <f>AV11</f>
        <v>Франция</v>
      </c>
      <c r="AZ11" s="3">
        <f>VLOOKUP(AY11,$O$5:$W$26,9,FALSE)</f>
        <v>3</v>
      </c>
      <c r="BA11" s="3">
        <f>VLOOKUP(AY11,$O$5:$W$26,6,FALSE)</f>
        <v>0</v>
      </c>
      <c r="BB11" s="3">
        <v>1</v>
      </c>
      <c r="BD11" s="3" t="str">
        <f>IF(AD11=AD12,IF(AD11=AD13,IF(AD11=AD14,AM11,IF(AE11&gt;=AE12,IF(AE11&gt;=AE13,AC11,AC13),IF(AE12&gt;=AE13,AC12,AC13))),IF(AE11&gt;=AE12,AC11,AC12)),AC11)</f>
        <v>Франция</v>
      </c>
      <c r="BE11" s="3">
        <f>VLOOKUP(BD11,$O$5:$W$26,9,FALSE)</f>
        <v>3</v>
      </c>
      <c r="BF11" s="3">
        <f>VLOOKUP(BD11,$O$5:$W$26,8,FALSE)</f>
        <v>0</v>
      </c>
      <c r="BG11" s="3" t="str">
        <f>BD11</f>
        <v>Франция</v>
      </c>
      <c r="BH11" s="3">
        <f>VLOOKUP(BG11,$O$5:$W$26,9,FALSE)</f>
        <v>3</v>
      </c>
      <c r="BI11" s="3">
        <f>VLOOKUP(BG11,$O$5:$W$26,8,FALSE)</f>
        <v>0</v>
      </c>
      <c r="BJ11" s="3" t="str">
        <f>BG11</f>
        <v>Франция</v>
      </c>
      <c r="BK11" s="3">
        <f>VLOOKUP(BJ11,$O$5:$W$26,9,FALSE)</f>
        <v>3</v>
      </c>
      <c r="BL11" s="3">
        <f>VLOOKUP(BJ11,$O$5:$W$26,8,FALSE)</f>
        <v>0</v>
      </c>
      <c r="BM11" s="3">
        <f>VLOOKUP(BJ11,$O$5:$W$26,6,FALSE)</f>
        <v>0</v>
      </c>
      <c r="BO11" s="3" t="str">
        <f>IF(AND(BK11=BK12,BL11=BL12),IF(AND(BK11=BK13,BL11=BL13),IF(AND(BK11=BK14,BL11=BL14),AY11,IF(BM11&gt;=BM12,IF(BM11&gt;=BM13,BJ11,BJ13),IF(BM12&gt;=BM13,BJ12,BJ13))),IF(BM11&gt;=BM12,BJ11,BJ12)),BJ11)</f>
        <v>Франция</v>
      </c>
      <c r="BP11" s="3">
        <f>VLOOKUP(BO11,$O$5:$W$26,9,FALSE)</f>
        <v>3</v>
      </c>
      <c r="BQ11" s="3">
        <f>VLOOKUP(BO11,$O$5:$W$26,8,FALSE)</f>
        <v>0</v>
      </c>
      <c r="BR11" s="3">
        <f>VLOOKUP(BO11,$O$5:$W$26,6,FALSE)</f>
        <v>0</v>
      </c>
      <c r="BS11" s="3" t="str">
        <f>BO11</f>
        <v>Франция</v>
      </c>
      <c r="BT11" s="3">
        <f>VLOOKUP(BS11,$O$5:$W$26,9,FALSE)</f>
        <v>3</v>
      </c>
      <c r="BU11" s="3">
        <f>VLOOKUP(BS11,$O$5:$W$26,8,FALSE)</f>
        <v>0</v>
      </c>
      <c r="BV11" s="3">
        <f>VLOOKUP(BS11,$O$5:$W$26,6,FALSE)</f>
        <v>0</v>
      </c>
      <c r="BW11" s="3" t="str">
        <f>BS11</f>
        <v>Франция</v>
      </c>
      <c r="BX11" s="3">
        <f>VLOOKUP(BW11,$O$5:$W$26,9,FALSE)</f>
        <v>3</v>
      </c>
      <c r="BY11" s="3">
        <f>VLOOKUP(BW11,$O$5:$W$26,8,FALSE)</f>
        <v>0</v>
      </c>
      <c r="BZ11" s="3">
        <f>VLOOKUP(BW11,$O$5:$W$26,6,FALSE)</f>
        <v>0</v>
      </c>
      <c r="CB11" s="3">
        <f>VLOOKUP($BW11,General!$AA$5:$AI$26,8,FALSE)</f>
        <v>0</v>
      </c>
      <c r="CC11" s="3">
        <f>VLOOKUP($BW11,General!$AA$5:$AI$26,6,FALSE)</f>
        <v>0</v>
      </c>
      <c r="CE11" s="26" t="str">
        <f>IF(BX15=4,BW11,IF(BX15=2,IF(BX11=BX12,IF(BY11=BY12,IF(BZ11=BZ12,IF(CB11=CB12,IF(CC11&gt;=CC12,BW11,BW12),IF(CB11&gt;CB12,BW11,BW12)),BW11),BW11),BW11),"XXX"))</f>
        <v>Франция</v>
      </c>
      <c r="CF11" s="18" t="str">
        <f>IF(CB11=CB12,IF(CB11=CB13,IF(CC11=CC12,IF(CC11&gt;=CC13,BW11,BW13),IF(CC11&gt;CC12,IF(CC11&gt;=CC13,BW11,BW13),IF(CC12&gt;=CC13,BW12,BW13))),IF(CB11&gt;CB13,BW11,BW13)),IF(CB11&gt;CB12,IF(CB11&gt;=CB13,BW11,BW13),IF(CB12&gt;=CB13,BW12,BW13)))</f>
        <v>Франция</v>
      </c>
      <c r="CG11" s="6">
        <f>VLOOKUP(CF11,General!$AA$5:$AI$26,8,FALSE)</f>
        <v>0</v>
      </c>
      <c r="CH11" s="6">
        <f>VLOOKUP(CF11,General!$AA$5:$AI$26,6,FALSE)</f>
        <v>0</v>
      </c>
      <c r="CI11" s="28" t="str">
        <f>CF11</f>
        <v>Франция</v>
      </c>
      <c r="CJ11" s="26" t="str">
        <f>IF(CB11=CB12,IF(CC11&gt;=CC12,BW11,BW12),IF(CB11&gt;CB12,BW11,BW12))</f>
        <v>Франция</v>
      </c>
      <c r="CK11" s="26" t="str">
        <f>BW11</f>
        <v>Франция</v>
      </c>
      <c r="CL11" s="26" t="str">
        <f>BW11</f>
        <v>Франция</v>
      </c>
      <c r="CM11" s="26" t="str">
        <f>CS11</f>
        <v>Франция</v>
      </c>
      <c r="CN11" s="26" t="str">
        <f>CS11</f>
        <v>Франция</v>
      </c>
      <c r="CP11" s="31" t="str">
        <f>HLOOKUP("YES",CE$10:CN$14,2,FALSE)</f>
        <v>Франция</v>
      </c>
      <c r="CS11" s="3" t="str">
        <f t="shared" si="3"/>
        <v>Франция</v>
      </c>
      <c r="CT11" s="3">
        <f>VLOOKUP($CS11,General!$AA$5:$AI$26,9,FALSE)</f>
        <v>0</v>
      </c>
      <c r="CU11" s="3">
        <f>VLOOKUP($CS11,General!$AA$5:$AI$26,8,FALSE)</f>
        <v>0</v>
      </c>
      <c r="CV11" s="3">
        <f>VLOOKUP($CS11,General!$AA$5:$AI$26,6,FALSE)</f>
        <v>0</v>
      </c>
      <c r="CX11" s="3" t="str">
        <f>IF(BX15=2,IF(AND(BY11=BY12,BZ11=BZ12),IF(CU11&gt;CU12,CS11,IF(CU11=CU12,IF(CV11&gt;=CV12,CS11,CS12),CS12)),BW11),IF(BX15=3,IF(AND(BY11=BY12,BZ11=BZ12,CB11=CB12),IF(CU11&gt;CU12,IF(CU11&gt;CU13,CS11,IF(CU11=CU13,IF(CV11&gt;=CV13,CS11,CS13),CS13)),IF(CU11=CU12,IF(CU11=CU13,IF(CV11&gt;=CV12,IF(CV11&gt;=CV13,CS11,CS13),IF(CV12&gt;=CV13,CS12,CS13)),IF(CV11&gt;=CV12,CS11,CS12)),IF(CU12&gt;CU13,CS12,IF(CU12=CU13,IF(CV12&gt;=CV13,CS12,CS13),CS13)))),BW11),BW11))</f>
        <v>Франция</v>
      </c>
      <c r="CY11" s="3" t="str">
        <f>CX11</f>
        <v>Франция</v>
      </c>
      <c r="DD11" s="3" t="str">
        <f>IF(OR(AD11=AD12,AD11=AD10),"X","")</f>
        <v>X</v>
      </c>
      <c r="DE11" s="3" t="str">
        <f>IF(DD11="x",IF(AD11=AD12,"y",""),"")</f>
        <v>y</v>
      </c>
      <c r="DF11" s="3" t="str">
        <f>IF(DD11="x",AC11,"")</f>
        <v>Франция</v>
      </c>
    </row>
    <row r="12" spans="1:110" ht="11.25">
      <c r="A12" s="1" t="str">
        <f>General!B12</f>
        <v>16.06.04</v>
      </c>
      <c r="B12" s="2">
        <f>General!C12</f>
        <v>0.8229166666666666</v>
      </c>
      <c r="C12" s="1" t="str">
        <f>General!D12</f>
        <v>Luz, Lisboa</v>
      </c>
      <c r="D12" s="3" t="str">
        <f>General!E12</f>
        <v>A</v>
      </c>
      <c r="E12" s="1" t="str">
        <f>General!F12</f>
        <v>A4</v>
      </c>
      <c r="F12" s="1" t="str">
        <f>General!G12</f>
        <v>A1</v>
      </c>
      <c r="G12" s="3" t="str">
        <f>General!H12</f>
        <v>Россия</v>
      </c>
      <c r="H12" s="3" t="str">
        <f>General!I12</f>
        <v>Португалия</v>
      </c>
      <c r="I12" s="3">
        <f>IF(OR(OR($O$39=$G12,$O$40=$G12,$O$41=$G12,$O$42=$G12,$O$43=$G12,$O$44=$G12,$O$45=$G12,$O$46=$G12,$O$47=$G12,O$48=$G12,$O$49=$G12,$O$50=$G12,$O$51=$G12,$O$52=$G12,$O$53=$G12,$O$54=$G12),OR($O$39=$H12,$O$40=$H12,$O$41=$H12,O$42=$H12,$O$43=$H12,$O$44=$H12,$O$45=$H12,$O$46=$H12,$O$47=$H12,$O$48=$H12,$O$49=$H12,$O$50=$H12,$O$51=$H12,$O$52=$H12,$O$53=$H12,$O$54=$H12)),"",General!J12)</f>
        <v>0</v>
      </c>
      <c r="J12" s="3">
        <f>IF(OR(OR($O$39=$G12,$O$40=$G12,$O$41=$G12,$O$42=$G12,$O$43=$G12,$O$44=$G12,$O$45=$G12,$O$46=$G12,$O$47=$G12,P$48=$G12,$O$49=$G12,$O$50=$G12,$O$51=$G12,$O$52=$G12,$O$53=$G12,$O$54=$G12),OR($O$39=$H12,$O$40=$H12,$O$41=$H12,O$42=$H12,$O$43=$H12,$O$44=$H12,$O$45=$H12,$O$46=$H12,$O$47=$H12,$O$48=$H12,$O$49=$H12,$O$50=$H12,$O$51=$H12,$O$52=$H12,$O$53=$H12,$O$54=$H12)),"",General!K12)</f>
        <v>0</v>
      </c>
      <c r="K12" s="3">
        <f t="shared" si="0"/>
      </c>
      <c r="L12" s="3">
        <f t="shared" si="1"/>
      </c>
      <c r="M12" s="3">
        <f>General!N12</f>
        <v>0</v>
      </c>
      <c r="N12" s="8" t="str">
        <f>General!Z12</f>
        <v>B2</v>
      </c>
      <c r="O12" s="8" t="str">
        <f>Teams!B7</f>
        <v>Англия</v>
      </c>
      <c r="P12" s="3">
        <f>COUNT(MA_B2_Pld)</f>
        <v>3</v>
      </c>
      <c r="Q12" s="9">
        <f>COUNTIF($K$3:$K$26,O12)</f>
        <v>0</v>
      </c>
      <c r="R12" s="9">
        <f>COUNTIF($L$3:$L$26,O12)</f>
        <v>0</v>
      </c>
      <c r="S12" s="9">
        <f>P12-Q12-R12</f>
        <v>3</v>
      </c>
      <c r="T12" s="3">
        <f>SUM(MA_B2_Pld)</f>
        <v>0</v>
      </c>
      <c r="U12" s="9">
        <f>SUM(MA_B2_against)</f>
        <v>0</v>
      </c>
      <c r="V12" s="9">
        <f>T12-U12</f>
        <v>0</v>
      </c>
      <c r="W12" s="9">
        <f>Q12*3+S12*1-IF(OR(O$39=O12,O$40=O12,O$41=O12,O$42=O12,O$43=O12,O$44=O12,O$45=O12,O$46=O12,O$47=O12,O$48=O12,O$49=O12,O$50=O12,O$51=O12,O$52=O12,O$53=O12,O$54=O12),1,0)</f>
        <v>3</v>
      </c>
      <c r="Y12" s="3" t="str">
        <f>IF(O12=Y$11,O$11,O12)</f>
        <v>Англия</v>
      </c>
      <c r="Z12" s="3">
        <f>VLOOKUP(Y12,$O$5:$W$26,9,FALSE)</f>
        <v>3</v>
      </c>
      <c r="AA12" s="3" t="str">
        <f>IF(Z12&gt;=Z13,IF(Z12&gt;=Z14,Y12,Y14),IF(Z13&gt;=Z14,Y13,Y14))</f>
        <v>Англия</v>
      </c>
      <c r="AB12" s="3">
        <f aca="true" t="shared" si="4" ref="AB12:AD14">VLOOKUP(AA12,$O$5:$W$26,9,FALSE)</f>
        <v>3</v>
      </c>
      <c r="AC12" s="3" t="str">
        <f>IF(AB12&gt;=AB13,IF(AB12&gt;=AB14,AA12,AA14),IF(AB13&gt;=AB14,AA13,AA14))</f>
        <v>Англия</v>
      </c>
      <c r="AD12" s="3">
        <f t="shared" si="4"/>
        <v>3</v>
      </c>
      <c r="AE12" s="3">
        <f t="shared" si="2"/>
        <v>0</v>
      </c>
      <c r="AG12" s="3" t="str">
        <f>IF(AC12=$AG$11,$AC$11,AC12)</f>
        <v>Англия</v>
      </c>
      <c r="AH12" s="3">
        <f>VLOOKUP(AG12,$O$5:$W$26,9,FALSE)</f>
        <v>3</v>
      </c>
      <c r="AI12" s="3">
        <f>VLOOKUP(AG12,$O$5:$W$26,8,FALSE)</f>
        <v>0</v>
      </c>
      <c r="AJ12" s="3" t="str">
        <f>IF(AI12&gt;=AI13,IF(AI12&gt;=AI14,AG12,AG14),IF(AI13&gt;=AI14,AG13,AG14))</f>
        <v>Англия</v>
      </c>
      <c r="AK12" s="3">
        <f>VLOOKUP(AJ12,$O$5:$W$26,9,FALSE)</f>
        <v>3</v>
      </c>
      <c r="AL12" s="3">
        <f>VLOOKUP(AJ12,$O$5:$W$26,8,FALSE)</f>
        <v>0</v>
      </c>
      <c r="AM12" s="3" t="str">
        <f>AJ12</f>
        <v>Англия</v>
      </c>
      <c r="AN12" s="3">
        <f>VLOOKUP(AM12,$O$5:$W$26,9,FALSE)</f>
        <v>3</v>
      </c>
      <c r="AO12" s="3">
        <f>VLOOKUP(AM12,$O$5:$W$26,8,FALSE)</f>
        <v>0</v>
      </c>
      <c r="AP12" s="3">
        <v>2</v>
      </c>
      <c r="AQ12" s="3">
        <f>VLOOKUP(AM12,$O$5:$W$26,6,FALSE)</f>
        <v>0</v>
      </c>
      <c r="AS12" s="3" t="str">
        <f>IF(AM12=AS$11,AM$11,AM12)</f>
        <v>Англия</v>
      </c>
      <c r="AT12" s="3">
        <f>VLOOKUP(AS12,$O$5:$W$26,9,FALSE)</f>
        <v>3</v>
      </c>
      <c r="AU12" s="3">
        <f>VLOOKUP(AS12,$O$5:$W$26,6,FALSE)</f>
        <v>0</v>
      </c>
      <c r="AV12" s="3" t="str">
        <f>IF(AU12&gt;=AU13,IF(AU12&gt;=AU14,AS12,AS14),IF(AU13&gt;=AU14,AS13,AS14))</f>
        <v>Англия</v>
      </c>
      <c r="AW12" s="3">
        <f>VLOOKUP(AV12,$O$5:$W$26,9,FALSE)</f>
        <v>3</v>
      </c>
      <c r="AX12" s="3">
        <f>VLOOKUP(AV12,$O$5:$W$26,6,FALSE)</f>
        <v>0</v>
      </c>
      <c r="AY12" s="3" t="str">
        <f>AV12</f>
        <v>Англия</v>
      </c>
      <c r="AZ12" s="3">
        <f>VLOOKUP(AY12,$O$5:$W$26,9,FALSE)</f>
        <v>3</v>
      </c>
      <c r="BA12" s="3">
        <f>VLOOKUP(AY12,$O$5:$W$26,6,FALSE)</f>
        <v>0</v>
      </c>
      <c r="BB12" s="3">
        <v>2</v>
      </c>
      <c r="BD12" s="3" t="str">
        <f>IF(AC12=BD$11,AC$11,AC12)</f>
        <v>Англия</v>
      </c>
      <c r="BE12" s="3">
        <f>VLOOKUP(BD12,$O$5:$W$26,9,FALSE)</f>
        <v>3</v>
      </c>
      <c r="BF12" s="3">
        <f>VLOOKUP(BD12,$O$5:$W$26,8,FALSE)</f>
        <v>0</v>
      </c>
      <c r="BG12" s="3" t="str">
        <f>IF(BE12=BE13,IF(BE12=BE14,IF(BF12&gt;=BF13,IF(BF12&gt;=BF14,BD12,BD14),IF(BF13&gt;=BF14,BD13,BD14)),IF(BF12&gt;=BF13,BD12,BD13)),BD12)</f>
        <v>Англия</v>
      </c>
      <c r="BH12" s="3">
        <f>VLOOKUP(BG12,$O$5:$W$26,9,FALSE)</f>
        <v>3</v>
      </c>
      <c r="BI12" s="3">
        <f>VLOOKUP(BG12,$O$5:$W$26,8,FALSE)</f>
        <v>0</v>
      </c>
      <c r="BJ12" s="3" t="str">
        <f>BG12</f>
        <v>Англия</v>
      </c>
      <c r="BK12" s="3">
        <f>VLOOKUP(BJ12,$O$5:$W$26,9,FALSE)</f>
        <v>3</v>
      </c>
      <c r="BL12" s="3">
        <f>VLOOKUP(BJ12,$O$5:$W$26,8,FALSE)</f>
        <v>0</v>
      </c>
      <c r="BM12" s="3">
        <f>VLOOKUP(BJ12,$O$5:$W$26,6,FALSE)</f>
        <v>0</v>
      </c>
      <c r="BO12" s="3" t="str">
        <f>IF(BJ12=BO$11,BJ$11,BJ12)</f>
        <v>Англия</v>
      </c>
      <c r="BP12" s="3">
        <f>VLOOKUP(BO12,$O$5:$W$26,9,FALSE)</f>
        <v>3</v>
      </c>
      <c r="BQ12" s="3">
        <f>VLOOKUP(BO12,$O$5:$W$26,8,FALSE)</f>
        <v>0</v>
      </c>
      <c r="BR12" s="3">
        <f>VLOOKUP(BO12,$O$5:$W$26,6,FALSE)</f>
        <v>0</v>
      </c>
      <c r="BS12" s="3" t="str">
        <f>IF(AND(BP12=BP13,BQ12=BQ13),IF(AND(BP12=BP14,BQ12=BQ14),IF(BR12&gt;=BR13,IF(BR12&gt;=BR14,BO12,BO14),IF(BR13&gt;=BR14,BO13,BO14)),IF(BR12&gt;=BR13,BO12,BO13)),BO12)</f>
        <v>Англия</v>
      </c>
      <c r="BT12" s="3">
        <f>VLOOKUP(BS12,$O$5:$W$26,9,FALSE)</f>
        <v>3</v>
      </c>
      <c r="BU12" s="3">
        <f>VLOOKUP(BS12,$O$5:$W$26,8,FALSE)</f>
        <v>0</v>
      </c>
      <c r="BV12" s="3">
        <f>VLOOKUP(BS12,$O$5:$W$26,6,FALSE)</f>
        <v>0</v>
      </c>
      <c r="BW12" s="3" t="str">
        <f>BS12</f>
        <v>Англия</v>
      </c>
      <c r="BX12" s="3">
        <f>VLOOKUP(BW12,$O$5:$W$26,9,FALSE)</f>
        <v>3</v>
      </c>
      <c r="BY12" s="3">
        <f>VLOOKUP(BW12,$O$5:$W$26,8,FALSE)</f>
        <v>0</v>
      </c>
      <c r="BZ12" s="3">
        <f>VLOOKUP(BW12,$O$5:$W$26,6,FALSE)</f>
        <v>0</v>
      </c>
      <c r="CB12" s="3">
        <f>VLOOKUP($BW12,General!$AA$5:$AI$26,8,FALSE)</f>
        <v>0</v>
      </c>
      <c r="CC12" s="3">
        <f>VLOOKUP($BW12,General!$AA$5:$AI$26,6,FALSE)</f>
        <v>0</v>
      </c>
      <c r="CE12" s="26" t="str">
        <f>IF(BW12=CE$11,BW$11,BW12)</f>
        <v>Англия</v>
      </c>
      <c r="CF12" s="18" t="str">
        <f>IF(BW12=CF$11,BW$11,BW12)</f>
        <v>Англия</v>
      </c>
      <c r="CG12" s="6">
        <f>VLOOKUP(CF12,General!$AA$5:$AI$26,8,FALSE)</f>
        <v>0</v>
      </c>
      <c r="CH12" s="6">
        <f>VLOOKUP(CF12,General!$AA$5:$AI$26,6,FALSE)</f>
        <v>0</v>
      </c>
      <c r="CI12" s="28" t="str">
        <f>IF(CG12=CG13,IF(CH12&gt;=CH13,CF12,CF13),IF(CG12&gt;CG13,CF12,CF13))</f>
        <v>Англия</v>
      </c>
      <c r="CJ12" s="26" t="str">
        <f>IF(BW12=CJ$11,BW$11,BW12)</f>
        <v>Англия</v>
      </c>
      <c r="CK12" s="26" t="str">
        <f>IF(CB12=CB13,IF(CC12&gt;=CC13,BW12,BW13),IF(CB12&gt;CB13,BW12,BW13))</f>
        <v>Англия</v>
      </c>
      <c r="CL12" s="26" t="str">
        <f>BW12</f>
        <v>Англия</v>
      </c>
      <c r="CM12" s="26" t="str">
        <f>CS12</f>
        <v>Англия</v>
      </c>
      <c r="CN12" s="26" t="str">
        <f>CS12</f>
        <v>Англия</v>
      </c>
      <c r="CP12" s="31" t="str">
        <f>HLOOKUP("YES",CE$10:CN$14,3,FALSE)</f>
        <v>Англия</v>
      </c>
      <c r="CS12" s="3" t="str">
        <f t="shared" si="3"/>
        <v>Англия</v>
      </c>
      <c r="CT12" s="3">
        <f>VLOOKUP($CS12,General!$AA$5:$AI$26,9,FALSE)</f>
        <v>0</v>
      </c>
      <c r="CU12" s="3">
        <f>VLOOKUP($CS12,General!$AA$5:$AI$26,8,FALSE)</f>
        <v>0</v>
      </c>
      <c r="CV12" s="3">
        <f>VLOOKUP($CS12,General!$AA$5:$AI$26,6,FALSE)</f>
        <v>0</v>
      </c>
      <c r="CX12" s="3" t="str">
        <f>IF(BW12=CX$11,BW$11,BW12)</f>
        <v>Англия</v>
      </c>
      <c r="CY12" s="3" t="str">
        <f>IF(BX15=2,CX12,IF(BX15=3,IF(CU12&gt;CU13,CX12,IF(CU12=CU13,IF(CV12&gt;=CV13,CX12,CX13),CX13)),BW12))</f>
        <v>Англия</v>
      </c>
      <c r="DD12" s="3" t="str">
        <f>IF(OR(AD12=AD13,AD12=AD11),"X","")</f>
        <v>X</v>
      </c>
      <c r="DE12" s="3" t="str">
        <f>IF(DD12="x",IF(AD12=AD13,"y",""),"")</f>
        <v>y</v>
      </c>
      <c r="DF12" s="3" t="str">
        <f>IF(DD12="x",AC12,"")</f>
        <v>Англия</v>
      </c>
    </row>
    <row r="13" spans="1:110" ht="11.25">
      <c r="A13" s="1" t="str">
        <f>General!B13</f>
        <v>17.06.04</v>
      </c>
      <c r="B13" s="2">
        <f>General!C13</f>
        <v>0.7083333333333333</v>
      </c>
      <c r="C13" s="1" t="str">
        <f>General!D13</f>
        <v>Cidade de Coimbra, Coimbra</v>
      </c>
      <c r="D13" s="3" t="str">
        <f>General!E13</f>
        <v>B</v>
      </c>
      <c r="E13" s="1" t="str">
        <f>General!F13</f>
        <v>B2</v>
      </c>
      <c r="F13" s="1" t="str">
        <f>General!G13</f>
        <v>B3</v>
      </c>
      <c r="G13" s="3" t="str">
        <f>General!H13</f>
        <v>Англия</v>
      </c>
      <c r="H13" s="3" t="str">
        <f>General!I13</f>
        <v>Швейцария</v>
      </c>
      <c r="I13" s="3">
        <f>IF(OR(OR($O$39=$G13,$O$40=$G13,$O$41=$G13,$O$42=$G13,$O$43=$G13,$O$44=$G13,$O$45=$G13,$O$46=$G13,$O$47=$G13,O$48=$G13,$O$49=$G13,$O$50=$G13,$O$51=$G13,$O$52=$G13,$O$53=$G13,$O$54=$G13),OR($O$39=$H13,$O$40=$H13,$O$41=$H13,O$42=$H13,$O$43=$H13,$O$44=$H13,$O$45=$H13,$O$46=$H13,$O$47=$H13,$O$48=$H13,$O$49=$H13,$O$50=$H13,$O$51=$H13,$O$52=$H13,$O$53=$H13,$O$54=$H13)),"",General!J13)</f>
        <v>0</v>
      </c>
      <c r="J13" s="3">
        <f>IF(OR(OR($O$39=$G13,$O$40=$G13,$O$41=$G13,$O$42=$G13,$O$43=$G13,$O$44=$G13,$O$45=$G13,$O$46=$G13,$O$47=$G13,P$48=$G13,$O$49=$G13,$O$50=$G13,$O$51=$G13,$O$52=$G13,$O$53=$G13,$O$54=$G13),OR($O$39=$H13,$O$40=$H13,$O$41=$H13,O$42=$H13,$O$43=$H13,$O$44=$H13,$O$45=$H13,$O$46=$H13,$O$47=$H13,$O$48=$H13,$O$49=$H13,$O$50=$H13,$O$51=$H13,$O$52=$H13,$O$53=$H13,$O$54=$H13)),"",General!K13)</f>
        <v>0</v>
      </c>
      <c r="K13" s="3">
        <f t="shared" si="0"/>
      </c>
      <c r="L13" s="3">
        <f t="shared" si="1"/>
      </c>
      <c r="M13" s="3">
        <f>General!N13</f>
        <v>0</v>
      </c>
      <c r="N13" s="8" t="str">
        <f>General!Z13</f>
        <v>B3</v>
      </c>
      <c r="O13" s="8" t="str">
        <f>Teams!B8</f>
        <v>Швейцария</v>
      </c>
      <c r="P13" s="3">
        <f>COUNT(MA_B3_Pld)</f>
        <v>3</v>
      </c>
      <c r="Q13" s="9">
        <f>COUNTIF($K$3:$K$26,O13)</f>
        <v>0</v>
      </c>
      <c r="R13" s="9">
        <f>COUNTIF($L$3:$L$26,O13)</f>
        <v>0</v>
      </c>
      <c r="S13" s="9">
        <f>P13-Q13-R13</f>
        <v>3</v>
      </c>
      <c r="T13" s="3">
        <f>SUM(MA_B3_Pld)</f>
        <v>0</v>
      </c>
      <c r="U13" s="9">
        <f>SUM(MA_B3_against)</f>
        <v>0</v>
      </c>
      <c r="V13" s="9">
        <f>T13-U13</f>
        <v>0</v>
      </c>
      <c r="W13" s="9">
        <f>Q13*3+S13*1-IF(OR(O$39=O13,O$40=O13,O$41=O13,O$42=O13,O$43=O13,O$44=O13,O$45=O13,O$46=O13,O$47=O13,O$48=O13,O$49=O13,O$50=O13,O$51=O13,O$52=O13,O$53=O13,O$54=O13),1,0)</f>
        <v>3</v>
      </c>
      <c r="Y13" s="3" t="str">
        <f>IF(O13=Y$11,O$11,O13)</f>
        <v>Швейцария</v>
      </c>
      <c r="Z13" s="3">
        <f>VLOOKUP(Y13,$O$5:$W$26,9,FALSE)</f>
        <v>3</v>
      </c>
      <c r="AA13" s="3" t="str">
        <f>IF(Y13=AA$12,Y$12,Y13)</f>
        <v>Швейцария</v>
      </c>
      <c r="AB13" s="3">
        <f t="shared" si="4"/>
        <v>3</v>
      </c>
      <c r="AC13" s="3" t="str">
        <f>IF(AB13&gt;=AB14,AA13,AA14)</f>
        <v>Швейцария</v>
      </c>
      <c r="AD13" s="3">
        <f t="shared" si="4"/>
        <v>3</v>
      </c>
      <c r="AE13" s="3">
        <f t="shared" si="2"/>
        <v>0</v>
      </c>
      <c r="AG13" s="3" t="str">
        <f>IF(AC13=$AG$11,$AC$11,AC13)</f>
        <v>Швейцария</v>
      </c>
      <c r="AH13" s="3">
        <f>VLOOKUP(AG13,$O$5:$W$26,9,FALSE)</f>
        <v>3</v>
      </c>
      <c r="AI13" s="3">
        <f>VLOOKUP(AG13,$O$5:$W$26,8,FALSE)</f>
        <v>0</v>
      </c>
      <c r="AJ13" s="3" t="str">
        <f>IF(AG13=AJ$12,AG$12,AG13)</f>
        <v>Швейцария</v>
      </c>
      <c r="AK13" s="3">
        <f>VLOOKUP(AJ13,$O$5:$W$26,9,FALSE)</f>
        <v>3</v>
      </c>
      <c r="AL13" s="3">
        <f>VLOOKUP(AJ13,$O$5:$W$26,8,FALSE)</f>
        <v>0</v>
      </c>
      <c r="AM13" s="3" t="str">
        <f>IF(AL13&gt;=AL14,AJ13,AJ14)</f>
        <v>Швейцария</v>
      </c>
      <c r="AN13" s="3">
        <f>VLOOKUP(AM13,$O$5:$W$26,9,FALSE)</f>
        <v>3</v>
      </c>
      <c r="AO13" s="3">
        <f>VLOOKUP(AM13,$O$5:$W$26,8,FALSE)</f>
        <v>0</v>
      </c>
      <c r="AP13" s="3">
        <v>3</v>
      </c>
      <c r="AQ13" s="3">
        <f>VLOOKUP(AM13,$O$5:$W$26,6,FALSE)</f>
        <v>0</v>
      </c>
      <c r="AS13" s="3" t="str">
        <f>IF(AM13=AS$11,AM$11,AM13)</f>
        <v>Швейцария</v>
      </c>
      <c r="AT13" s="3">
        <f>VLOOKUP(AS13,$O$5:$W$26,9,FALSE)</f>
        <v>3</v>
      </c>
      <c r="AU13" s="3">
        <f>VLOOKUP(AS13,$O$5:$W$26,6,FALSE)</f>
        <v>0</v>
      </c>
      <c r="AV13" s="3" t="str">
        <f>IF(AS13=AV$12,AS$12,AS13)</f>
        <v>Швейцария</v>
      </c>
      <c r="AW13" s="3">
        <f>VLOOKUP(AV13,$O$5:$W$26,9,FALSE)</f>
        <v>3</v>
      </c>
      <c r="AX13" s="3">
        <f>VLOOKUP(AV13,$O$5:$W$26,6,FALSE)</f>
        <v>0</v>
      </c>
      <c r="AY13" s="3" t="str">
        <f>IF(AX13&gt;=AX14,AV13,AV14)</f>
        <v>Швейцария</v>
      </c>
      <c r="AZ13" s="3">
        <f>VLOOKUP(AY13,$O$5:$W$26,9,FALSE)</f>
        <v>3</v>
      </c>
      <c r="BA13" s="3">
        <f>VLOOKUP(AY13,$O$5:$W$26,6,FALSE)</f>
        <v>0</v>
      </c>
      <c r="BB13" s="3">
        <v>3</v>
      </c>
      <c r="BD13" s="3" t="str">
        <f>IF(AC13=BD$11,AC$11,AC13)</f>
        <v>Швейцария</v>
      </c>
      <c r="BE13" s="3">
        <f>VLOOKUP(BD13,$O$5:$W$26,9,FALSE)</f>
        <v>3</v>
      </c>
      <c r="BF13" s="3">
        <f>VLOOKUP(BD13,$O$5:$W$26,8,FALSE)</f>
        <v>0</v>
      </c>
      <c r="BG13" s="3" t="str">
        <f>IF(BD13=BG$12,BD$12,BD13)</f>
        <v>Швейцария</v>
      </c>
      <c r="BH13" s="3">
        <f>VLOOKUP(BG13,$O$5:$W$26,9,FALSE)</f>
        <v>3</v>
      </c>
      <c r="BI13" s="3">
        <f>VLOOKUP(BG13,$O$5:$W$26,8,FALSE)</f>
        <v>0</v>
      </c>
      <c r="BJ13" s="3" t="str">
        <f>IF(BH13=BH14,IF(BI13&gt;=BI14,BG13,BG14),BG13)</f>
        <v>Швейцария</v>
      </c>
      <c r="BK13" s="3">
        <f>VLOOKUP(BJ13,$O$5:$W$26,9,FALSE)</f>
        <v>3</v>
      </c>
      <c r="BL13" s="3">
        <f>VLOOKUP(BJ13,$O$5:$W$26,8,FALSE)</f>
        <v>0</v>
      </c>
      <c r="BM13" s="3">
        <f>VLOOKUP(BJ13,$O$5:$W$26,6,FALSE)</f>
        <v>0</v>
      </c>
      <c r="BO13" s="3" t="str">
        <f>IF(BJ13=BO$11,BJ$11,BJ13)</f>
        <v>Швейцария</v>
      </c>
      <c r="BP13" s="3">
        <f>VLOOKUP(BO13,$O$5:$W$26,9,FALSE)</f>
        <v>3</v>
      </c>
      <c r="BQ13" s="3">
        <f>VLOOKUP(BO13,$O$5:$W$26,8,FALSE)</f>
        <v>0</v>
      </c>
      <c r="BR13" s="3">
        <f>VLOOKUP(BO13,$O$5:$W$26,6,FALSE)</f>
        <v>0</v>
      </c>
      <c r="BS13" s="3" t="str">
        <f>IF(BO13=BS$12,BO$12,BO13)</f>
        <v>Швейцария</v>
      </c>
      <c r="BT13" s="3">
        <f>VLOOKUP(BS13,$O$5:$W$26,9,FALSE)</f>
        <v>3</v>
      </c>
      <c r="BU13" s="3">
        <f>VLOOKUP(BS13,$O$5:$W$26,8,FALSE)</f>
        <v>0</v>
      </c>
      <c r="BV13" s="3">
        <f>VLOOKUP(BS13,$O$5:$W$26,6,FALSE)</f>
        <v>0</v>
      </c>
      <c r="BW13" s="3" t="str">
        <f>IF(AND(BT13=BT14,BU13=BU14),IF(BV13&gt;=BV14,BS13,BS14),BS13)</f>
        <v>Швейцария</v>
      </c>
      <c r="BX13" s="3">
        <f>VLOOKUP(BW13,$O$5:$W$26,9,FALSE)</f>
        <v>3</v>
      </c>
      <c r="BY13" s="3">
        <f>VLOOKUP(BW13,$O$5:$W$26,8,FALSE)</f>
        <v>0</v>
      </c>
      <c r="BZ13" s="3">
        <f>VLOOKUP(BW13,$O$5:$W$26,6,FALSE)</f>
        <v>0</v>
      </c>
      <c r="CB13" s="3">
        <f>VLOOKUP($BW13,General!$AA$5:$AI$26,8,FALSE)</f>
        <v>0</v>
      </c>
      <c r="CC13" s="3">
        <f>VLOOKUP($BW13,General!$AA$5:$AI$26,6,FALSE)</f>
        <v>0</v>
      </c>
      <c r="CE13" s="26" t="str">
        <f>IF(BW13=CE$11,BW$11,BW13)</f>
        <v>Швейцария</v>
      </c>
      <c r="CF13" s="18" t="str">
        <f>IF(BW13=CF$11,BW$11,BW13)</f>
        <v>Швейцария</v>
      </c>
      <c r="CG13" s="6">
        <f>VLOOKUP(CF13,General!$AA$5:$AI$26,8,FALSE)</f>
        <v>0</v>
      </c>
      <c r="CH13" s="6">
        <f>VLOOKUP(CF13,General!$AA$5:$AI$26,6,FALSE)</f>
        <v>0</v>
      </c>
      <c r="CI13" s="28" t="str">
        <f>IF(CF13=CI$12,CF$12,CF13)</f>
        <v>Швейцария</v>
      </c>
      <c r="CJ13" s="26" t="str">
        <f>IF(BW13=CJ$11,BW$11,BW13)</f>
        <v>Швейцария</v>
      </c>
      <c r="CK13" s="26" t="str">
        <f>IF(BW13=CK$12,BW$12,BW13)</f>
        <v>Швейцария</v>
      </c>
      <c r="CL13" s="26" t="str">
        <f>BW13</f>
        <v>Швейцария</v>
      </c>
      <c r="CM13" s="26" t="str">
        <f>CS13</f>
        <v>Швейцария</v>
      </c>
      <c r="CN13" s="26" t="str">
        <f>CS13</f>
        <v>Швейцария</v>
      </c>
      <c r="CP13" s="31" t="str">
        <f>HLOOKUP("YES",CE$10:CN$14,4,FALSE)</f>
        <v>Швейцария</v>
      </c>
      <c r="CS13" s="3" t="str">
        <f t="shared" si="3"/>
        <v>Швейцария</v>
      </c>
      <c r="CT13" s="3">
        <f>VLOOKUP($CS13,General!$AA$5:$AI$26,9,FALSE)</f>
        <v>0</v>
      </c>
      <c r="CU13" s="3">
        <f>VLOOKUP($CS13,General!$AA$5:$AI$26,8,FALSE)</f>
        <v>0</v>
      </c>
      <c r="CV13" s="3">
        <f>VLOOKUP($CS13,General!$AA$5:$AI$26,6,FALSE)</f>
        <v>0</v>
      </c>
      <c r="CX13" s="3" t="str">
        <f>IF(BW13=CX$11,BW$11,BW13)</f>
        <v>Швейцария</v>
      </c>
      <c r="CY13" s="3" t="str">
        <f>IF(CX13=CY$12,CX$12,CX13)</f>
        <v>Швейцария</v>
      </c>
      <c r="DD13" s="3" t="str">
        <f>IF(OR(AD13=AD14,AD13=AD12),"X","")</f>
        <v>X</v>
      </c>
      <c r="DE13" s="3" t="str">
        <f>IF(DD13="x",IF(AD13=AD14,"y",""),"")</f>
        <v>y</v>
      </c>
      <c r="DF13" s="3" t="str">
        <f>IF(DD13="x",AC13,"")</f>
        <v>Швейцария</v>
      </c>
    </row>
    <row r="14" spans="1:110" ht="11.25">
      <c r="A14" s="1" t="str">
        <f>General!B14</f>
        <v>17.06.04</v>
      </c>
      <c r="B14" s="2">
        <f>General!C14</f>
        <v>0.8229166666666666</v>
      </c>
      <c r="C14" s="1" t="str">
        <f>General!D14</f>
        <v>Dr Magalhães Pessoa, Leiria</v>
      </c>
      <c r="D14" s="3" t="str">
        <f>General!E14</f>
        <v>B</v>
      </c>
      <c r="E14" s="1" t="str">
        <f>General!F14</f>
        <v>B4</v>
      </c>
      <c r="F14" s="1" t="str">
        <f>General!G14</f>
        <v>B1</v>
      </c>
      <c r="G14" s="3" t="str">
        <f>General!H14</f>
        <v>Хорватия</v>
      </c>
      <c r="H14" s="3" t="str">
        <f>General!I14</f>
        <v>Франция</v>
      </c>
      <c r="I14" s="3">
        <f>IF(OR(OR($O$39=$G14,$O$40=$G14,$O$41=$G14,$O$42=$G14,$O$43=$G14,$O$44=$G14,$O$45=$G14,$O$46=$G14,$O$47=$G14,O$48=$G14,$O$49=$G14,$O$50=$G14,$O$51=$G14,$O$52=$G14,$O$53=$G14,$O$54=$G14),OR($O$39=$H14,$O$40=$H14,$O$41=$H14,O$42=$H14,$O$43=$H14,$O$44=$H14,$O$45=$H14,$O$46=$H14,$O$47=$H14,$O$48=$H14,$O$49=$H14,$O$50=$H14,$O$51=$H14,$O$52=$H14,$O$53=$H14,$O$54=$H14)),"",General!J14)</f>
        <v>0</v>
      </c>
      <c r="J14" s="3">
        <f>IF(OR(OR($O$39=$G14,$O$40=$G14,$O$41=$G14,$O$42=$G14,$O$43=$G14,$O$44=$G14,$O$45=$G14,$O$46=$G14,$O$47=$G14,P$48=$G14,$O$49=$G14,$O$50=$G14,$O$51=$G14,$O$52=$G14,$O$53=$G14,$O$54=$G14),OR($O$39=$H14,$O$40=$H14,$O$41=$H14,O$42=$H14,$O$43=$H14,$O$44=$H14,$O$45=$H14,$O$46=$H14,$O$47=$H14,$O$48=$H14,$O$49=$H14,$O$50=$H14,$O$51=$H14,$O$52=$H14,$O$53=$H14,$O$54=$H14)),"",General!K14)</f>
        <v>0</v>
      </c>
      <c r="K14" s="3">
        <f t="shared" si="0"/>
      </c>
      <c r="L14" s="3">
        <f t="shared" si="1"/>
      </c>
      <c r="M14" s="3">
        <f>General!N14</f>
        <v>0</v>
      </c>
      <c r="N14" s="8" t="str">
        <f>General!Z14</f>
        <v>B4</v>
      </c>
      <c r="O14" s="8" t="str">
        <f>Teams!B9</f>
        <v>Хорватия</v>
      </c>
      <c r="P14" s="3">
        <f>COUNT(MA_B4_Pld)</f>
        <v>3</v>
      </c>
      <c r="Q14" s="9">
        <f>COUNTIF($K$3:$K$26,O14)</f>
        <v>0</v>
      </c>
      <c r="R14" s="9">
        <f>COUNTIF($L$3:$L$26,O14)</f>
        <v>0</v>
      </c>
      <c r="S14" s="9">
        <f>P14-Q14-R14</f>
        <v>3</v>
      </c>
      <c r="T14" s="3">
        <f>SUM(MA_B4_Pld)</f>
        <v>0</v>
      </c>
      <c r="U14" s="9">
        <f>SUM(MA_B4_against)</f>
        <v>0</v>
      </c>
      <c r="V14" s="9">
        <f>T14-U14</f>
        <v>0</v>
      </c>
      <c r="W14" s="9">
        <f>Q14*3+S14*1-IF(OR(O$39=O14,O$40=O14,O$41=O14,O$42=O14,O$43=O14,O$44=O14,O$45=O14,O$46=O14,O$47=O14,O$48=O14,O$49=O14,O$50=O14,O$51=O14,O$52=O14,O$53=O14,O$54=O14),1,0)</f>
        <v>3</v>
      </c>
      <c r="Y14" s="3" t="str">
        <f>IF(O14=Y$11,O$11,O14)</f>
        <v>Хорватия</v>
      </c>
      <c r="Z14" s="3">
        <f>VLOOKUP(Y14,$O$5:$W$26,9,FALSE)</f>
        <v>3</v>
      </c>
      <c r="AA14" s="3" t="str">
        <f>IF(Y14=AA$12,Y$12,Y14)</f>
        <v>Хорватия</v>
      </c>
      <c r="AB14" s="3">
        <f t="shared" si="4"/>
        <v>3</v>
      </c>
      <c r="AC14" s="3" t="str">
        <f>IF(AA14=AC13,AA13,AA14)</f>
        <v>Хорватия</v>
      </c>
      <c r="AD14" s="3">
        <f t="shared" si="4"/>
        <v>3</v>
      </c>
      <c r="AE14" s="3">
        <f t="shared" si="2"/>
        <v>0</v>
      </c>
      <c r="AG14" s="3" t="str">
        <f>IF(AC14=$AG$11,$AC$11,AC14)</f>
        <v>Хорватия</v>
      </c>
      <c r="AH14" s="3">
        <f>VLOOKUP(AG14,$O$5:$W$26,9,FALSE)</f>
        <v>3</v>
      </c>
      <c r="AI14" s="3">
        <f>VLOOKUP(AG14,$O$5:$W$26,8,FALSE)</f>
        <v>0</v>
      </c>
      <c r="AJ14" s="3" t="str">
        <f>IF(AG14=AJ$12,AG$12,AG14)</f>
        <v>Хорватия</v>
      </c>
      <c r="AK14" s="3">
        <f>VLOOKUP(AJ14,$O$5:$W$26,9,FALSE)</f>
        <v>3</v>
      </c>
      <c r="AL14" s="3">
        <f>VLOOKUP(AJ14,$O$5:$W$26,8,FALSE)</f>
        <v>0</v>
      </c>
      <c r="AM14" s="3" t="str">
        <f>IF(AJ14=AM13,AJ13,AJ14)</f>
        <v>Хорватия</v>
      </c>
      <c r="AN14" s="3">
        <f>VLOOKUP(AM14,$O$5:$W$26,9,FALSE)</f>
        <v>3</v>
      </c>
      <c r="AO14" s="3">
        <f>VLOOKUP(AM14,$O$5:$W$26,8,FALSE)</f>
        <v>0</v>
      </c>
      <c r="AP14" s="3">
        <v>4</v>
      </c>
      <c r="AQ14" s="3">
        <f>VLOOKUP(AM14,$O$5:$W$26,6,FALSE)</f>
        <v>0</v>
      </c>
      <c r="AS14" s="3" t="str">
        <f>IF(AM14=AS$11,AM$11,AM14)</f>
        <v>Хорватия</v>
      </c>
      <c r="AT14" s="3">
        <f>VLOOKUP(AS14,$O$5:$W$26,9,FALSE)</f>
        <v>3</v>
      </c>
      <c r="AU14" s="3">
        <f>VLOOKUP(AS14,$O$5:$W$26,6,FALSE)</f>
        <v>0</v>
      </c>
      <c r="AV14" s="3" t="str">
        <f>IF(AS14=AV$12,AS$12,AS14)</f>
        <v>Хорватия</v>
      </c>
      <c r="AW14" s="3">
        <f>VLOOKUP(AV14,$O$5:$W$26,9,FALSE)</f>
        <v>3</v>
      </c>
      <c r="AX14" s="3">
        <f>VLOOKUP(AV14,$O$5:$W$26,6,FALSE)</f>
        <v>0</v>
      </c>
      <c r="AY14" s="3" t="str">
        <f>IF(AV14=AY13,AV13,AV14)</f>
        <v>Хорватия</v>
      </c>
      <c r="AZ14" s="3">
        <f>VLOOKUP(AY14,$O$5:$W$26,9,FALSE)</f>
        <v>3</v>
      </c>
      <c r="BA14" s="3">
        <f>VLOOKUP(AY14,$O$5:$W$26,6,FALSE)</f>
        <v>0</v>
      </c>
      <c r="BB14" s="3">
        <v>4</v>
      </c>
      <c r="BD14" s="3" t="str">
        <f>IF(AC14=BD$11,AC$11,AC14)</f>
        <v>Хорватия</v>
      </c>
      <c r="BE14" s="3">
        <f>VLOOKUP(BD14,$O$5:$W$26,9,FALSE)</f>
        <v>3</v>
      </c>
      <c r="BF14" s="3">
        <f>VLOOKUP(BD14,$O$5:$W$26,8,FALSE)</f>
        <v>0</v>
      </c>
      <c r="BG14" s="3" t="str">
        <f>IF(BD14=BG$12,BD$12,BD14)</f>
        <v>Хорватия</v>
      </c>
      <c r="BH14" s="3">
        <f>VLOOKUP(BG14,$O$5:$W$26,9,FALSE)</f>
        <v>3</v>
      </c>
      <c r="BI14" s="3">
        <f>VLOOKUP(BG14,$O$5:$W$26,8,FALSE)</f>
        <v>0</v>
      </c>
      <c r="BJ14" s="3" t="str">
        <f>IF(BG14=BJ13,BG13,BG14)</f>
        <v>Хорватия</v>
      </c>
      <c r="BK14" s="3">
        <f>VLOOKUP(BJ14,$O$5:$W$26,9,FALSE)</f>
        <v>3</v>
      </c>
      <c r="BL14" s="3">
        <f>VLOOKUP(BJ14,$O$5:$W$26,8,FALSE)</f>
        <v>0</v>
      </c>
      <c r="BM14" s="3">
        <f>VLOOKUP(BJ14,$O$5:$W$26,6,FALSE)</f>
        <v>0</v>
      </c>
      <c r="BO14" s="3" t="str">
        <f>IF(BJ14=BO$11,BJ$11,BJ14)</f>
        <v>Хорватия</v>
      </c>
      <c r="BP14" s="3">
        <f>VLOOKUP(BO14,$O$5:$W$26,9,FALSE)</f>
        <v>3</v>
      </c>
      <c r="BQ14" s="3">
        <f>VLOOKUP(BO14,$O$5:$W$26,8,FALSE)</f>
        <v>0</v>
      </c>
      <c r="BR14" s="3">
        <f>VLOOKUP(BO14,$O$5:$W$26,6,FALSE)</f>
        <v>0</v>
      </c>
      <c r="BS14" s="3" t="str">
        <f>IF(BO14=BS$12,BO$12,BO14)</f>
        <v>Хорватия</v>
      </c>
      <c r="BT14" s="3">
        <f>VLOOKUP(BS14,$O$5:$W$26,9,FALSE)</f>
        <v>3</v>
      </c>
      <c r="BU14" s="3">
        <f>VLOOKUP(BS14,$O$5:$W$26,8,FALSE)</f>
        <v>0</v>
      </c>
      <c r="BV14" s="3">
        <f>VLOOKUP(BS14,$O$5:$W$26,6,FALSE)</f>
        <v>0</v>
      </c>
      <c r="BW14" s="3" t="str">
        <f>IF(BS14=BW13,BS13,BS14)</f>
        <v>Хорватия</v>
      </c>
      <c r="BX14" s="3">
        <f>VLOOKUP(BW14,$O$5:$W$26,9,FALSE)</f>
        <v>3</v>
      </c>
      <c r="BY14" s="3">
        <f>VLOOKUP(BW14,$O$5:$W$26,8,FALSE)</f>
        <v>0</v>
      </c>
      <c r="BZ14" s="3">
        <f>VLOOKUP(BW14,$O$5:$W$26,6,FALSE)</f>
        <v>0</v>
      </c>
      <c r="CB14" s="3">
        <f>VLOOKUP($BW14,General!$AA$5:$AI$26,8,FALSE)</f>
        <v>0</v>
      </c>
      <c r="CC14" s="3">
        <f>VLOOKUP($BW14,General!$AA$5:$AI$26,6,FALSE)</f>
        <v>0</v>
      </c>
      <c r="CE14" s="26" t="str">
        <f>IF(BW14=CE$11,BW$11,BW14)</f>
        <v>Хорватия</v>
      </c>
      <c r="CF14" s="18" t="str">
        <f>IF(BW14=CF$11,BW$11,BW14)</f>
        <v>Хорватия</v>
      </c>
      <c r="CG14" s="6">
        <f>VLOOKUP(CF14,General!$AA$5:$AI$26,8,FALSE)</f>
        <v>0</v>
      </c>
      <c r="CH14" s="6">
        <f>VLOOKUP(CF14,General!$AA$5:$AI$26,6,FALSE)</f>
        <v>0</v>
      </c>
      <c r="CI14" s="28" t="str">
        <f>IF(CF14=CI$12,CF$12,CF14)</f>
        <v>Хорватия</v>
      </c>
      <c r="CJ14" s="26" t="str">
        <f>IF(BW14=CJ$11,BW$11,BW14)</f>
        <v>Хорватия</v>
      </c>
      <c r="CK14" s="26" t="str">
        <f>IF(BW14=CK$12,BW$12,BW14)</f>
        <v>Хорватия</v>
      </c>
      <c r="CL14" s="26" t="str">
        <f>BW14</f>
        <v>Хорватия</v>
      </c>
      <c r="CM14" s="26" t="str">
        <f>CS14</f>
        <v>Хорватия</v>
      </c>
      <c r="CN14" s="26" t="str">
        <f>CS14</f>
        <v>Хорватия</v>
      </c>
      <c r="CP14" s="31" t="str">
        <f>HLOOKUP("YES",CE$10:CN$14,5,FALSE)</f>
        <v>Хорватия</v>
      </c>
      <c r="CS14" s="3" t="str">
        <f t="shared" si="3"/>
        <v>Хорватия</v>
      </c>
      <c r="CT14" s="3">
        <f>VLOOKUP($CS14,General!$AA$5:$AI$26,9,FALSE)</f>
        <v>0</v>
      </c>
      <c r="CU14" s="3">
        <f>VLOOKUP($CS14,General!$AA$5:$AI$26,8,FALSE)</f>
        <v>0</v>
      </c>
      <c r="CV14" s="3">
        <f>VLOOKUP($CS14,General!$AA$5:$AI$26,6,FALSE)</f>
        <v>0</v>
      </c>
      <c r="CX14" s="3" t="str">
        <f>IF(BW14=CX$11,BW$11,BW14)</f>
        <v>Хорватия</v>
      </c>
      <c r="CY14" s="3" t="str">
        <f>IF(CX14=CY$12,CX$12,CX14)</f>
        <v>Хорватия</v>
      </c>
      <c r="DD14" s="3" t="str">
        <f>IF(OR(AD14=AD15,AD14=AD13),"X","")</f>
        <v>X</v>
      </c>
      <c r="DE14" s="3">
        <f>IF(DD14="x",IF(AD14=AD15,"y",""),"")</f>
      </c>
      <c r="DF14" s="3" t="str">
        <f>IF(DD14="x",AC14,"")</f>
        <v>Хорватия</v>
      </c>
    </row>
    <row r="15" spans="1:111" ht="11.25">
      <c r="A15" s="1" t="str">
        <f>General!B15</f>
        <v>18.06.04</v>
      </c>
      <c r="B15" s="2">
        <f>General!C15</f>
        <v>0.7083333333333333</v>
      </c>
      <c r="C15" s="1" t="str">
        <f>General!D15</f>
        <v>Municipal, Braga</v>
      </c>
      <c r="D15" s="3" t="str">
        <f>General!E15</f>
        <v>C</v>
      </c>
      <c r="E15" s="1" t="str">
        <f>General!F15</f>
        <v>C2</v>
      </c>
      <c r="F15" s="1" t="str">
        <f>General!G15</f>
        <v>C3</v>
      </c>
      <c r="G15" s="3" t="str">
        <f>General!H15</f>
        <v>Болгария</v>
      </c>
      <c r="H15" s="3" t="str">
        <f>General!I15</f>
        <v>Дания</v>
      </c>
      <c r="I15" s="3">
        <f>IF(OR(OR($O$39=$G15,$O$40=$G15,$O$41=$G15,$O$42=$G15,$O$43=$G15,$O$44=$G15,$O$45=$G15,$O$46=$G15,$O$47=$G15,O$48=$G15,$O$49=$G15,$O$50=$G15,$O$51=$G15,$O$52=$G15,$O$53=$G15,$O$54=$G15),OR($O$39=$H15,$O$40=$H15,$O$41=$H15,O$42=$H15,$O$43=$H15,$O$44=$H15,$O$45=$H15,$O$46=$H15,$O$47=$H15,$O$48=$H15,$O$49=$H15,$O$50=$H15,$O$51=$H15,$O$52=$H15,$O$53=$H15,$O$54=$H15)),"",General!J15)</f>
        <v>0</v>
      </c>
      <c r="J15" s="3">
        <f>IF(OR(OR($O$39=$G15,$O$40=$G15,$O$41=$G15,$O$42=$G15,$O$43=$G15,$O$44=$G15,$O$45=$G15,$O$46=$G15,$O$47=$G15,P$48=$G15,$O$49=$G15,$O$50=$G15,$O$51=$G15,$O$52=$G15,$O$53=$G15,$O$54=$G15),OR($O$39=$H15,$O$40=$H15,$O$41=$H15,O$42=$H15,$O$43=$H15,$O$44=$H15,$O$45=$H15,$O$46=$H15,$O$47=$H15,$O$48=$H15,$O$49=$H15,$O$50=$H15,$O$51=$H15,$O$52=$H15,$O$53=$H15,$O$54=$H15)),"",General!K15)</f>
        <v>0</v>
      </c>
      <c r="K15" s="3">
        <f t="shared" si="0"/>
      </c>
      <c r="L15" s="3">
        <f t="shared" si="1"/>
      </c>
      <c r="M15" s="3">
        <f>General!N15</f>
        <v>0</v>
      </c>
      <c r="N15" s="3">
        <f>General!Z15</f>
        <v>0</v>
      </c>
      <c r="O15" s="4" t="s">
        <v>106</v>
      </c>
      <c r="P15" s="5"/>
      <c r="Q15" s="5"/>
      <c r="R15" s="5"/>
      <c r="S15" s="5"/>
      <c r="T15" s="5"/>
      <c r="U15" s="5"/>
      <c r="V15" s="5"/>
      <c r="W15" s="5"/>
      <c r="AD15" s="3" t="s">
        <v>75</v>
      </c>
      <c r="BX15" s="3">
        <f>4-COUNTIF(BX11:BX14,-1)</f>
        <v>4</v>
      </c>
      <c r="CE15" s="26"/>
      <c r="CF15" s="18"/>
      <c r="CG15" s="6"/>
      <c r="CH15" s="6"/>
      <c r="CI15" s="28"/>
      <c r="CJ15" s="26"/>
      <c r="CK15" s="26"/>
      <c r="CL15" s="26"/>
      <c r="CM15" s="26"/>
      <c r="CN15" s="26"/>
      <c r="CP15" s="31"/>
      <c r="DD15" s="3">
        <f>COUNTIF(DD11:DD14,"X")</f>
        <v>4</v>
      </c>
      <c r="DE15" s="3">
        <f>COUNTIF(DE11:DE14,"y")</f>
        <v>3</v>
      </c>
      <c r="DF15" s="3">
        <f>COUNTIF(DD11:DD14,"X")</f>
        <v>4</v>
      </c>
      <c r="DG15" s="3" t="b">
        <f>OR(DD15=2,AND(DD15=4,DE15&lt;3))</f>
        <v>0</v>
      </c>
    </row>
    <row r="16" spans="1:94" ht="11.25">
      <c r="A16" s="1" t="str">
        <f>General!B16</f>
        <v>18.06.04</v>
      </c>
      <c r="B16" s="2">
        <f>General!C16</f>
        <v>0.8229166666666666</v>
      </c>
      <c r="C16" s="1" t="str">
        <f>General!D16</f>
        <v>Dragão, Porto</v>
      </c>
      <c r="D16" s="3" t="str">
        <f>General!E16</f>
        <v>C</v>
      </c>
      <c r="E16" s="1" t="str">
        <f>General!F16</f>
        <v>C4</v>
      </c>
      <c r="F16" s="1" t="str">
        <f>General!G16</f>
        <v>C1</v>
      </c>
      <c r="G16" s="3" t="str">
        <f>General!H16</f>
        <v>Италия</v>
      </c>
      <c r="H16" s="3" t="str">
        <f>General!I16</f>
        <v>Швеция</v>
      </c>
      <c r="I16" s="3">
        <f>IF(OR(OR($O$39=$G16,$O$40=$G16,$O$41=$G16,$O$42=$G16,$O$43=$G16,$O$44=$G16,$O$45=$G16,$O$46=$G16,$O$47=$G16,O$48=$G16,$O$49=$G16,$O$50=$G16,$O$51=$G16,$O$52=$G16,$O$53=$G16,$O$54=$G16),OR($O$39=$H16,$O$40=$H16,$O$41=$H16,O$42=$H16,$O$43=$H16,$O$44=$H16,$O$45=$H16,$O$46=$H16,$O$47=$H16,$O$48=$H16,$O$49=$H16,$O$50=$H16,$O$51=$H16,$O$52=$H16,$O$53=$H16,$O$54=$H16)),"",General!J16)</f>
        <v>0</v>
      </c>
      <c r="J16" s="3">
        <f>IF(OR(OR($O$39=$G16,$O$40=$G16,$O$41=$G16,$O$42=$G16,$O$43=$G16,$O$44=$G16,$O$45=$G16,$O$46=$G16,$O$47=$G16,P$48=$G16,$O$49=$G16,$O$50=$G16,$O$51=$G16,$O$52=$G16,$O$53=$G16,$O$54=$G16),OR($O$39=$H16,$O$40=$H16,$O$41=$H16,O$42=$H16,$O$43=$H16,$O$44=$H16,$O$45=$H16,$O$46=$H16,$O$47=$H16,$O$48=$H16,$O$49=$H16,$O$50=$H16,$O$51=$H16,$O$52=$H16,$O$53=$H16,$O$54=$H16)),"",General!K16)</f>
        <v>0</v>
      </c>
      <c r="K16" s="3">
        <f t="shared" si="0"/>
      </c>
      <c r="L16" s="3">
        <f t="shared" si="1"/>
      </c>
      <c r="M16" s="3">
        <f>General!N16</f>
        <v>0</v>
      </c>
      <c r="N16" s="3">
        <f>General!Z16</f>
        <v>0</v>
      </c>
      <c r="O16" s="6"/>
      <c r="P16" s="7" t="s">
        <v>65</v>
      </c>
      <c r="Q16" s="7" t="s">
        <v>66</v>
      </c>
      <c r="R16" s="7" t="s">
        <v>67</v>
      </c>
      <c r="S16" s="7" t="s">
        <v>43</v>
      </c>
      <c r="T16" s="7" t="s">
        <v>68</v>
      </c>
      <c r="U16" s="7" t="s">
        <v>34</v>
      </c>
      <c r="V16" s="7" t="s">
        <v>69</v>
      </c>
      <c r="W16" s="7" t="s">
        <v>70</v>
      </c>
      <c r="CE16" s="26" t="str">
        <f>IF(OR(BX21=2,BX21=4),"YES","NO")</f>
        <v>YES</v>
      </c>
      <c r="CF16" s="18"/>
      <c r="CG16" s="6"/>
      <c r="CH16" s="6"/>
      <c r="CI16" s="28" t="str">
        <f>IF(AND(BY17=BY18,BY18=BY19,BZ17=BZ18,BZ18=BZ19,BX21=3),"YES","NO")</f>
        <v>NO</v>
      </c>
      <c r="CJ16" s="26" t="str">
        <f>IF(OR(AND(BX21=3,BY17=BY18,BY18&lt;&gt;BY19,BZ17=BZ18),AND(BX21=3,BY17=BY18,BY18=BY19,BZ17=BZ18,BZ18&lt;&gt;BZ19)),"YES","NO")</f>
        <v>NO</v>
      </c>
      <c r="CK16" s="26" t="str">
        <f>IF(OR(AND(BX21=3,BY17&lt;&gt;BY18,BY18=BY19,BZ18=BZ19),AND(BY17=BY18,BY18=BY19,BZ17&lt;&gt;BZ18,BZ18=BZ19)),"YES","NO")</f>
        <v>NO</v>
      </c>
      <c r="CL16" s="26" t="str">
        <f>IF(AND(BX21=3,COUNTIF(CI16:CK16,"YES")=0),"YES","NO")</f>
        <v>NO</v>
      </c>
      <c r="CM16" s="26" t="str">
        <f>IF(OR(BX21=1,BX21=0),"YES","NO")</f>
        <v>NO</v>
      </c>
      <c r="CN16" s="26" t="str">
        <f>IF(COUNTIF(CE16:CM16,"YES")&gt;0,"NO","YES")</f>
        <v>NO</v>
      </c>
      <c r="CP16" s="31"/>
    </row>
    <row r="17" spans="1:110" ht="11.25">
      <c r="A17" s="1" t="str">
        <f>General!B17</f>
        <v>19.06.04</v>
      </c>
      <c r="B17" s="2">
        <f>General!C17</f>
        <v>0.7083333333333333</v>
      </c>
      <c r="C17" s="1" t="str">
        <f>General!D17</f>
        <v>Bessa - Séc. XXI, Porto</v>
      </c>
      <c r="D17" s="3" t="str">
        <f>General!E17</f>
        <v>D</v>
      </c>
      <c r="E17" s="1" t="str">
        <f>General!F17</f>
        <v>D2</v>
      </c>
      <c r="F17" s="1" t="str">
        <f>General!G17</f>
        <v>D3</v>
      </c>
      <c r="G17" s="3" t="str">
        <f>General!H17</f>
        <v>Латвия</v>
      </c>
      <c r="H17" s="3" t="str">
        <f>General!I17</f>
        <v>Германия</v>
      </c>
      <c r="I17" s="3">
        <f>IF(OR(OR($O$39=$G17,$O$40=$G17,$O$41=$G17,$O$42=$G17,$O$43=$G17,$O$44=$G17,$O$45=$G17,$O$46=$G17,$O$47=$G17,O$48=$G17,$O$49=$G17,$O$50=$G17,$O$51=$G17,$O$52=$G17,$O$53=$G17,$O$54=$G17),OR($O$39=$H17,$O$40=$H17,$O$41=$H17,O$42=$H17,$O$43=$H17,$O$44=$H17,$O$45=$H17,$O$46=$H17,$O$47=$H17,$O$48=$H17,$O$49=$H17,$O$50=$H17,$O$51=$H17,$O$52=$H17,$O$53=$H17,$O$54=$H17)),"",General!J17)</f>
        <v>0</v>
      </c>
      <c r="J17" s="3">
        <f>IF(OR(OR($O$39=$G17,$O$40=$G17,$O$41=$G17,$O$42=$G17,$O$43=$G17,$O$44=$G17,$O$45=$G17,$O$46=$G17,$O$47=$G17,P$48=$G17,$O$49=$G17,$O$50=$G17,$O$51=$G17,$O$52=$G17,$O$53=$G17,$O$54=$G17),OR($O$39=$H17,$O$40=$H17,$O$41=$H17,O$42=$H17,$O$43=$H17,$O$44=$H17,$O$45=$H17,$O$46=$H17,$O$47=$H17,$O$48=$H17,$O$49=$H17,$O$50=$H17,$O$51=$H17,$O$52=$H17,$O$53=$H17,$O$54=$H17)),"",General!K17)</f>
        <v>0</v>
      </c>
      <c r="K17" s="3">
        <f t="shared" si="0"/>
      </c>
      <c r="L17" s="3">
        <f t="shared" si="1"/>
      </c>
      <c r="M17" s="3">
        <f>General!N17</f>
        <v>0</v>
      </c>
      <c r="N17" s="8" t="str">
        <f>General!Z17</f>
        <v>C1</v>
      </c>
      <c r="O17" s="8" t="str">
        <f>Teams!B10</f>
        <v>Швеция</v>
      </c>
      <c r="P17" s="3">
        <f>COUNT(MA_C_1_Pld)</f>
        <v>3</v>
      </c>
      <c r="Q17" s="9">
        <f>COUNTIF($K$3:$K$26,O17)</f>
        <v>0</v>
      </c>
      <c r="R17" s="9">
        <f>COUNTIF($L$3:$L$26,O17)</f>
        <v>0</v>
      </c>
      <c r="S17" s="9">
        <f>P17-Q17-R17</f>
        <v>3</v>
      </c>
      <c r="T17" s="3">
        <f>SUM(MA_C_1_Pld)</f>
        <v>0</v>
      </c>
      <c r="U17" s="9">
        <f>SUM(MA_C_1_against)</f>
        <v>0</v>
      </c>
      <c r="V17" s="9">
        <f>T17-U17</f>
        <v>0</v>
      </c>
      <c r="W17" s="9">
        <f>Q17*3+S17*1-IF(OR(O$39=O17,O$40=O17,O$41=O17,O$42=O17,O$43=O17,O$44=O17,O$45=O17,O$46=O17,O$47=O17,O$48=O17,O$49=O17,O$50=O17,O$51=O17,O$52=O17,O$53=O17,O$54=O17),1,0)</f>
        <v>3</v>
      </c>
      <c r="Y17" s="3" t="str">
        <f>IF(W17&gt;=W18,IF(W17&gt;=W19,IF(W17&gt;=W20,O17,O20),IF(W19&gt;=W18,IF(W19&gt;=W20,O19,O20),IF(W18&gt;=W20,O18,O20))),IF(W18&gt;=W19,IF(W18&gt;=W20,O18,O20),IF(W19&gt;=W20,O19,O20)))</f>
        <v>Швеция</v>
      </c>
      <c r="Z17" s="3">
        <f>VLOOKUP(Y17,$O$5:$W$26,9,FALSE)</f>
        <v>3</v>
      </c>
      <c r="AA17" s="3" t="str">
        <f>Y17</f>
        <v>Швеция</v>
      </c>
      <c r="AB17" s="3">
        <f>VLOOKUP(AA17,$O$5:$W$26,9,FALSE)</f>
        <v>3</v>
      </c>
      <c r="AC17" s="3" t="str">
        <f>AA17</f>
        <v>Швеция</v>
      </c>
      <c r="AD17" s="3">
        <f>VLOOKUP(AC17,$O$5:$W$26,9,FALSE)</f>
        <v>3</v>
      </c>
      <c r="AE17" s="3">
        <f t="shared" si="2"/>
        <v>0</v>
      </c>
      <c r="AG17" s="3" t="str">
        <f>IF(AE17&gt;=AE18,IF(AE17&gt;=AE19,IF(AE17&gt;=AE20,AC17,AC20),IF(AE19&gt;=AE18,IF(AE19&gt;=AE20,AC19,AC20),IF(AE18&gt;=AE20,AC18,AC20))),IF(AE18&gt;=AE19,IF(AE18&gt;=AE20,AC18,AC20),IF(AE19&gt;=AE20,AC19,AC20)))</f>
        <v>Швеция</v>
      </c>
      <c r="AH17" s="3">
        <f>VLOOKUP(AG17,$O$5:$W$26,9,FALSE)</f>
        <v>3</v>
      </c>
      <c r="AI17" s="3">
        <f>VLOOKUP(AG17,$O$5:$W$26,8,FALSE)</f>
        <v>0</v>
      </c>
      <c r="AJ17" s="3" t="str">
        <f>AG17</f>
        <v>Швеция</v>
      </c>
      <c r="AK17" s="3">
        <f>VLOOKUP(AJ17,$O$5:$W$26,9,FALSE)</f>
        <v>3</v>
      </c>
      <c r="AL17" s="3">
        <f>VLOOKUP(AJ17,$O$5:$W$26,8,FALSE)</f>
        <v>0</v>
      </c>
      <c r="AM17" s="3" t="str">
        <f>AJ17</f>
        <v>Швеция</v>
      </c>
      <c r="AN17" s="3">
        <f>VLOOKUP(AM17,$O$5:$W$26,9,FALSE)</f>
        <v>3</v>
      </c>
      <c r="AO17" s="3">
        <f>VLOOKUP(AM17,$O$5:$W$26,8,FALSE)</f>
        <v>0</v>
      </c>
      <c r="AP17" s="3">
        <v>1</v>
      </c>
      <c r="AQ17" s="3">
        <f>VLOOKUP(AM17,$O$5:$W$26,6,FALSE)</f>
        <v>0</v>
      </c>
      <c r="AS17" s="3" t="str">
        <f>IF(AQ17&gt;=AQ18,IF(AQ17&gt;=AQ19,IF(AQ17&gt;=AQ20,AM17,AM20),IF(AQ19&gt;=AQ18,IF(AQ19&gt;=AQ20,AM19,AM20),IF(AQ18&gt;=AQ20,AM18,AM20))),IF(AQ18&gt;=AQ19,IF(AQ18&gt;=AQ20,AM18,AM20),IF(AQ19&gt;=AQ20,AM19,AM20)))</f>
        <v>Швеция</v>
      </c>
      <c r="AT17" s="3">
        <f>VLOOKUP(AS17,$O$5:$W$26,9,FALSE)</f>
        <v>3</v>
      </c>
      <c r="AU17" s="3">
        <f>VLOOKUP(AS17,$O$5:$W$26,6,FALSE)</f>
        <v>0</v>
      </c>
      <c r="AV17" s="3" t="str">
        <f>AS17</f>
        <v>Швеция</v>
      </c>
      <c r="AW17" s="3">
        <f>VLOOKUP(AV17,$O$5:$W$26,9,FALSE)</f>
        <v>3</v>
      </c>
      <c r="AX17" s="3">
        <f>VLOOKUP(AV17,$O$5:$W$26,6,FALSE)</f>
        <v>0</v>
      </c>
      <c r="AY17" s="3" t="str">
        <f>AV17</f>
        <v>Швеция</v>
      </c>
      <c r="AZ17" s="3">
        <f>VLOOKUP(AY17,$O$5:$W$26,9,FALSE)</f>
        <v>3</v>
      </c>
      <c r="BA17" s="3">
        <f>VLOOKUP(AY17,$O$5:$W$26,6,FALSE)</f>
        <v>0</v>
      </c>
      <c r="BB17" s="3">
        <v>1</v>
      </c>
      <c r="BD17" s="3" t="str">
        <f>IF(AD17=AD18,IF(AD17=AD19,IF(AD17=AD20,AM17,IF(AE17&gt;=AE18,IF(AE17&gt;=AE19,AC17,AC19),IF(AE18&gt;=AE19,AC18,AC19))),IF(AE17&gt;=AE18,AC17,AC18)),AC17)</f>
        <v>Швеция</v>
      </c>
      <c r="BE17" s="3">
        <f>VLOOKUP(BD17,$O$5:$W$26,9,FALSE)</f>
        <v>3</v>
      </c>
      <c r="BF17" s="3">
        <f>VLOOKUP(BD17,$O$5:$W$26,8,FALSE)</f>
        <v>0</v>
      </c>
      <c r="BG17" s="3" t="str">
        <f>BD17</f>
        <v>Швеция</v>
      </c>
      <c r="BH17" s="3">
        <f>VLOOKUP(BG17,$O$5:$W$26,9,FALSE)</f>
        <v>3</v>
      </c>
      <c r="BI17" s="3">
        <f>VLOOKUP(BG17,$O$5:$W$26,8,FALSE)</f>
        <v>0</v>
      </c>
      <c r="BJ17" s="3" t="str">
        <f>BG17</f>
        <v>Швеция</v>
      </c>
      <c r="BK17" s="3">
        <f>VLOOKUP(BJ17,$O$5:$W$26,9,FALSE)</f>
        <v>3</v>
      </c>
      <c r="BL17" s="3">
        <f>VLOOKUP(BJ17,$O$5:$W$26,8,FALSE)</f>
        <v>0</v>
      </c>
      <c r="BM17" s="3">
        <f>VLOOKUP(BJ17,$O$5:$W$26,6,FALSE)</f>
        <v>0</v>
      </c>
      <c r="BO17" s="3" t="str">
        <f>IF(AND(BK17=BK18,BL17=BL18),IF(AND(BK17=BK19,BL17=BL19),IF(AND(BK17=BK20,BL17=BL20),AY17,IF(BM17&gt;=BM18,IF(BM17&gt;=BM19,BJ17,BJ19),IF(BM18&gt;=BM19,BJ18,BJ19))),IF(BM17&gt;=BM18,BJ17,BJ18)),BJ17)</f>
        <v>Швеция</v>
      </c>
      <c r="BP17" s="3">
        <f>VLOOKUP(BO17,$O$5:$W$26,9,FALSE)</f>
        <v>3</v>
      </c>
      <c r="BQ17" s="3">
        <f>VLOOKUP(BO17,$O$5:$W$26,8,FALSE)</f>
        <v>0</v>
      </c>
      <c r="BR17" s="3">
        <f>VLOOKUP(BO17,$O$5:$W$26,6,FALSE)</f>
        <v>0</v>
      </c>
      <c r="BS17" s="3" t="str">
        <f>BO17</f>
        <v>Швеция</v>
      </c>
      <c r="BT17" s="3">
        <f>VLOOKUP(BS17,$O$5:$W$26,9,FALSE)</f>
        <v>3</v>
      </c>
      <c r="BU17" s="3">
        <f>VLOOKUP(BS17,$O$5:$W$26,8,FALSE)</f>
        <v>0</v>
      </c>
      <c r="BV17" s="3">
        <f>VLOOKUP(BS17,$O$5:$W$26,6,FALSE)</f>
        <v>0</v>
      </c>
      <c r="BW17" s="3" t="str">
        <f>BS17</f>
        <v>Швеция</v>
      </c>
      <c r="BX17" s="3">
        <f>VLOOKUP(BW17,$O$5:$W$26,9,FALSE)</f>
        <v>3</v>
      </c>
      <c r="BY17" s="3">
        <f>VLOOKUP(BW17,$O$5:$W$26,8,FALSE)</f>
        <v>0</v>
      </c>
      <c r="BZ17" s="3">
        <f>VLOOKUP(BW17,$O$5:$W$26,6,FALSE)</f>
        <v>0</v>
      </c>
      <c r="CB17" s="3">
        <f>VLOOKUP($BW17,General!$AA$5:$AI$26,8,FALSE)</f>
        <v>0</v>
      </c>
      <c r="CC17" s="3">
        <f>VLOOKUP($BW17,General!$AA$5:$AI$26,6,FALSE)</f>
        <v>0</v>
      </c>
      <c r="CE17" s="26" t="str">
        <f>IF(BX21=4,BW17,IF(BX21=2,IF(BX17=BX18,IF(BY17=BY18,IF(BZ17=BZ18,IF(CB17=CB18,IF(CC17&gt;=CC18,BW17,BW18),IF(CB17&gt;CB18,BW17,BW18)),BW17),BW17),BW17),"XXX"))</f>
        <v>Швеция</v>
      </c>
      <c r="CF17" s="18" t="str">
        <f>IF(CB17=CB18,IF(CB17=CB19,IF(CC17=CC18,IF(CC17&gt;=CC19,BW17,BW19),IF(CC17&gt;CC18,IF(CC17&gt;=CC19,BW17,BW19),IF(CC18&gt;=CC19,BW18,BW19))),IF(CB17&gt;CB19,BW17,BW19)),IF(CB17&gt;CB18,IF(CB17&gt;=CB19,BW17,BW19),IF(CB18&gt;=CB19,BW18,BW19)))</f>
        <v>Швеция</v>
      </c>
      <c r="CG17" s="6">
        <f>VLOOKUP(CF17,General!$AA$5:$AI$26,8,FALSE)</f>
        <v>0</v>
      </c>
      <c r="CH17" s="6">
        <f>VLOOKUP(CF17,General!$AA$5:$AI$26,6,FALSE)</f>
        <v>0</v>
      </c>
      <c r="CI17" s="28" t="str">
        <f>CF17</f>
        <v>Швеция</v>
      </c>
      <c r="CJ17" s="26" t="str">
        <f>IF(CB17=CB18,IF(CC17&gt;=CC18,BW17,BW18),IF(CB17&gt;CB18,BW17,BW18))</f>
        <v>Швеция</v>
      </c>
      <c r="CK17" s="26" t="str">
        <f>BW17</f>
        <v>Швеция</v>
      </c>
      <c r="CL17" s="26" t="str">
        <f>BW17</f>
        <v>Швеция</v>
      </c>
      <c r="CM17" s="26" t="str">
        <f>CS17</f>
        <v>Швеция</v>
      </c>
      <c r="CN17" s="26" t="str">
        <f>CS17</f>
        <v>Швеция</v>
      </c>
      <c r="CP17" s="31" t="str">
        <f>HLOOKUP("YES",CE$16:CN$20,2,FALSE)</f>
        <v>Швеция</v>
      </c>
      <c r="CS17" s="3" t="str">
        <f t="shared" si="3"/>
        <v>Швеция</v>
      </c>
      <c r="CT17" s="3">
        <f>VLOOKUP($CS17,General!$AA$5:$AI$26,9,FALSE)</f>
        <v>0</v>
      </c>
      <c r="CU17" s="3">
        <f>VLOOKUP($CS17,General!$AA$5:$AI$26,8,FALSE)</f>
        <v>0</v>
      </c>
      <c r="CV17" s="3">
        <f>VLOOKUP($CS17,General!$AA$5:$AI$26,6,FALSE)</f>
        <v>0</v>
      </c>
      <c r="CX17" s="3" t="str">
        <f>IF(BX21=2,IF(AND(BY17=BY18,BZ17=BZ18),IF(CU17&gt;CU18,CS17,IF(CU17=CU18,IF(CV17&gt;=CV18,CS17,CS18),CS18)),BW17),IF(BX21=3,IF(AND(BY17=BY18,BZ17=BZ18,CB17=CB18),IF(CU17&gt;CU18,IF(CU17&gt;CU19,CS17,IF(CU17=CU19,IF(CV17&gt;=CV19,CS17,CS19),CS19)),IF(CU17=CU18,IF(CU17=CU19,IF(CV17&gt;=CV18,IF(CV17&gt;=CV19,CS17,CS19),IF(CV18&gt;=CV19,CS18,CS19)),IF(CV17&gt;=CV18,CS17,CS18)),IF(CU18&gt;CU19,CS18,IF(CU18=CU19,IF(CV18&gt;=CV19,CS18,CS19),CS19)))),BW17),BW17))</f>
        <v>Швеция</v>
      </c>
      <c r="CY17" s="3" t="str">
        <f>CX17</f>
        <v>Швеция</v>
      </c>
      <c r="DD17" s="3" t="str">
        <f>IF(OR(AD17=AD18,AD17=AD16),"X","")</f>
        <v>X</v>
      </c>
      <c r="DE17" s="3" t="str">
        <f>IF(DD17="x",IF(AD17=AD18,"y",""),"")</f>
        <v>y</v>
      </c>
      <c r="DF17" s="3" t="str">
        <f>IF(DD17="x",AC17,"")</f>
        <v>Швеция</v>
      </c>
    </row>
    <row r="18" spans="1:110" ht="11.25">
      <c r="A18" s="1" t="str">
        <f>General!B18</f>
        <v>19.06.04</v>
      </c>
      <c r="B18" s="2">
        <f>General!C18</f>
        <v>0.8229166666666666</v>
      </c>
      <c r="C18" s="1" t="str">
        <f>General!D18</f>
        <v>Municipal, Aveiro</v>
      </c>
      <c r="D18" s="3" t="str">
        <f>General!E18</f>
        <v>D</v>
      </c>
      <c r="E18" s="1" t="str">
        <f>General!F18</f>
        <v>D4</v>
      </c>
      <c r="F18" s="1" t="str">
        <f>General!G18</f>
        <v>D1</v>
      </c>
      <c r="G18" s="3" t="str">
        <f>General!H18</f>
        <v>Нидерланды</v>
      </c>
      <c r="H18" s="3" t="str">
        <f>General!I18</f>
        <v>Чехия</v>
      </c>
      <c r="I18" s="3">
        <f>IF(OR(OR($O$39=$G18,$O$40=$G18,$O$41=$G18,$O$42=$G18,$O$43=$G18,$O$44=$G18,$O$45=$G18,$O$46=$G18,$O$47=$G18,O$48=$G18,$O$49=$G18,$O$50=$G18,$O$51=$G18,$O$52=$G18,$O$53=$G18,$O$54=$G18),OR($O$39=$H18,$O$40=$H18,$O$41=$H18,O$42=$H18,$O$43=$H18,$O$44=$H18,$O$45=$H18,$O$46=$H18,$O$47=$H18,$O$48=$H18,$O$49=$H18,$O$50=$H18,$O$51=$H18,$O$52=$H18,$O$53=$H18,$O$54=$H18)),"",General!J18)</f>
        <v>0</v>
      </c>
      <c r="J18" s="3">
        <f>IF(OR(OR($O$39=$G18,$O$40=$G18,$O$41=$G18,$O$42=$G18,$O$43=$G18,$O$44=$G18,$O$45=$G18,$O$46=$G18,$O$47=$G18,P$48=$G18,$O$49=$G18,$O$50=$G18,$O$51=$G18,$O$52=$G18,$O$53=$G18,$O$54=$G18),OR($O$39=$H18,$O$40=$H18,$O$41=$H18,O$42=$H18,$O$43=$H18,$O$44=$H18,$O$45=$H18,$O$46=$H18,$O$47=$H18,$O$48=$H18,$O$49=$H18,$O$50=$H18,$O$51=$H18,$O$52=$H18,$O$53=$H18,$O$54=$H18)),"",General!K18)</f>
        <v>0</v>
      </c>
      <c r="K18" s="3">
        <f t="shared" si="0"/>
      </c>
      <c r="L18" s="3">
        <f t="shared" si="1"/>
      </c>
      <c r="M18" s="3">
        <f>General!N18</f>
        <v>0</v>
      </c>
      <c r="N18" s="8" t="str">
        <f>General!Z18</f>
        <v>C2</v>
      </c>
      <c r="O18" s="8" t="str">
        <f>Teams!B11</f>
        <v>Болгария</v>
      </c>
      <c r="P18" s="3">
        <f>COUNT(MA_C_2_Pld)</f>
        <v>3</v>
      </c>
      <c r="Q18" s="9">
        <f>COUNTIF($K$3:$K$26,O18)</f>
        <v>0</v>
      </c>
      <c r="R18" s="9">
        <f>COUNTIF($L$3:$L$26,O18)</f>
        <v>0</v>
      </c>
      <c r="S18" s="9">
        <f>P18-Q18-R18</f>
        <v>3</v>
      </c>
      <c r="T18" s="3">
        <f>SUM(MA_C_2_Pld)</f>
        <v>0</v>
      </c>
      <c r="U18" s="9">
        <f>SUM(MA_C_2_against)</f>
        <v>0</v>
      </c>
      <c r="V18" s="9">
        <f>T18-U18</f>
        <v>0</v>
      </c>
      <c r="W18" s="9">
        <f>Q18*3+S18*1-IF(OR(O$39=O18,O$40=O18,O$41=O18,O$42=O18,O$43=O18,O$44=O18,O$45=O18,O$46=O18,O$47=O18,O$48=O18,O$49=O18,O$50=O18,O$51=O18,O$52=O18,O$53=O18,O$54=O18),1,0)</f>
        <v>3</v>
      </c>
      <c r="Y18" s="3" t="str">
        <f>IF(O18=Y$17,O$17,O18)</f>
        <v>Болгария</v>
      </c>
      <c r="Z18" s="3">
        <f>VLOOKUP(Y18,$O$5:$W$26,9,FALSE)</f>
        <v>3</v>
      </c>
      <c r="AA18" s="3" t="str">
        <f>IF(Z18&gt;=Z19,IF(Z18&gt;=Z20,Y18,Y20),IF(Z19&gt;=Z20,Y19,Y20))</f>
        <v>Болгария</v>
      </c>
      <c r="AB18" s="3">
        <f aca="true" t="shared" si="5" ref="AB18:AD20">VLOOKUP(AA18,$O$5:$W$26,9,FALSE)</f>
        <v>3</v>
      </c>
      <c r="AC18" s="3" t="str">
        <f>IF(AB18&gt;=AB19,IF(AB18&gt;=AB20,AA18,AA20),IF(AB19&gt;=AB20,AA19,AA20))</f>
        <v>Болгария</v>
      </c>
      <c r="AD18" s="3">
        <f t="shared" si="5"/>
        <v>3</v>
      </c>
      <c r="AE18" s="3">
        <f t="shared" si="2"/>
        <v>0</v>
      </c>
      <c r="AG18" s="3" t="str">
        <f>IF(AC18=$AG$17,$AC$17,AC18)</f>
        <v>Болгария</v>
      </c>
      <c r="AH18" s="3">
        <f>VLOOKUP(AG18,$O$5:$W$26,9,FALSE)</f>
        <v>3</v>
      </c>
      <c r="AI18" s="3">
        <f>VLOOKUP(AG18,$O$5:$W$26,8,FALSE)</f>
        <v>0</v>
      </c>
      <c r="AJ18" s="3" t="str">
        <f>IF(AI18&gt;=AI19,IF(AI18&gt;=AI20,AG18,AG20),IF(AI19&gt;=AI20,AG19,AG20))</f>
        <v>Болгария</v>
      </c>
      <c r="AK18" s="3">
        <f>VLOOKUP(AJ18,$O$5:$W$26,9,FALSE)</f>
        <v>3</v>
      </c>
      <c r="AL18" s="3">
        <f>VLOOKUP(AJ18,$O$5:$W$26,8,FALSE)</f>
        <v>0</v>
      </c>
      <c r="AM18" s="3" t="str">
        <f>AJ18</f>
        <v>Болгария</v>
      </c>
      <c r="AN18" s="3">
        <f>VLOOKUP(AM18,$O$5:$W$26,9,FALSE)</f>
        <v>3</v>
      </c>
      <c r="AO18" s="3">
        <f>VLOOKUP(AM18,$O$5:$W$26,8,FALSE)</f>
        <v>0</v>
      </c>
      <c r="AP18" s="3">
        <v>2</v>
      </c>
      <c r="AQ18" s="3">
        <f>VLOOKUP(AM18,$O$5:$W$26,6,FALSE)</f>
        <v>0</v>
      </c>
      <c r="AS18" s="3" t="str">
        <f>IF(AM18=AS$17,AM$17,AM18)</f>
        <v>Болгария</v>
      </c>
      <c r="AT18" s="3">
        <f>VLOOKUP(AS18,$O$5:$W$26,9,FALSE)</f>
        <v>3</v>
      </c>
      <c r="AU18" s="3">
        <f>VLOOKUP(AS18,$O$5:$W$26,6,FALSE)</f>
        <v>0</v>
      </c>
      <c r="AV18" s="3" t="str">
        <f>IF(AU18&gt;=AU19,IF(AU18&gt;=AU20,AS18,AS20),IF(AU19&gt;=AU20,AS19,AS20))</f>
        <v>Болгария</v>
      </c>
      <c r="AW18" s="3">
        <f>VLOOKUP(AV18,$O$5:$W$26,9,FALSE)</f>
        <v>3</v>
      </c>
      <c r="AX18" s="3">
        <f>VLOOKUP(AV18,$O$5:$W$26,6,FALSE)</f>
        <v>0</v>
      </c>
      <c r="AY18" s="3" t="str">
        <f>AV18</f>
        <v>Болгария</v>
      </c>
      <c r="AZ18" s="3">
        <f>VLOOKUP(AY18,$O$5:$W$26,9,FALSE)</f>
        <v>3</v>
      </c>
      <c r="BA18" s="3">
        <f>VLOOKUP(AY18,$O$5:$W$26,6,FALSE)</f>
        <v>0</v>
      </c>
      <c r="BB18" s="3">
        <v>2</v>
      </c>
      <c r="BD18" s="3" t="str">
        <f>IF(AC18=BD$17,AC$17,AC18)</f>
        <v>Болгария</v>
      </c>
      <c r="BE18" s="3">
        <f>VLOOKUP(BD18,$O$5:$W$26,9,FALSE)</f>
        <v>3</v>
      </c>
      <c r="BF18" s="3">
        <f>VLOOKUP(BD18,$O$5:$W$26,8,FALSE)</f>
        <v>0</v>
      </c>
      <c r="BG18" s="3" t="str">
        <f>IF(BE18=BE19,IF(BE18=BE20,IF(BF18&gt;=BF19,IF(BF18&gt;=BF20,BD18,BD20),IF(BF19&gt;=BF20,BD19,BD20)),IF(BF18&gt;=BF19,BD18,BD19)),BD18)</f>
        <v>Болгария</v>
      </c>
      <c r="BH18" s="3">
        <f>VLOOKUP(BG18,$O$5:$W$26,9,FALSE)</f>
        <v>3</v>
      </c>
      <c r="BI18" s="3">
        <f>VLOOKUP(BG18,$O$5:$W$26,8,FALSE)</f>
        <v>0</v>
      </c>
      <c r="BJ18" s="3" t="str">
        <f>BG18</f>
        <v>Болгария</v>
      </c>
      <c r="BK18" s="3">
        <f>VLOOKUP(BJ18,$O$5:$W$26,9,FALSE)</f>
        <v>3</v>
      </c>
      <c r="BL18" s="3">
        <f>VLOOKUP(BJ18,$O$5:$W$26,8,FALSE)</f>
        <v>0</v>
      </c>
      <c r="BM18" s="3">
        <f>VLOOKUP(BJ18,$O$5:$W$26,6,FALSE)</f>
        <v>0</v>
      </c>
      <c r="BO18" s="3" t="str">
        <f>IF(BJ18=BO$17,BJ$17,BJ18)</f>
        <v>Болгария</v>
      </c>
      <c r="BP18" s="3">
        <f>VLOOKUP(BO18,$O$5:$W$26,9,FALSE)</f>
        <v>3</v>
      </c>
      <c r="BQ18" s="3">
        <f>VLOOKUP(BO18,$O$5:$W$26,8,FALSE)</f>
        <v>0</v>
      </c>
      <c r="BR18" s="3">
        <f>VLOOKUP(BO18,$O$5:$W$26,6,FALSE)</f>
        <v>0</v>
      </c>
      <c r="BS18" s="3" t="str">
        <f>IF(AND(BP18=BP19,BQ18=BQ19),IF(AND(BP18=BP20,BQ18=BQ20),IF(BR18&gt;=BR19,IF(BR18&gt;=BR20,BO18,BO20),IF(BR19&gt;=BR20,BO19,BO20)),IF(BR18&gt;=BR19,BO18,BO19)),BO18)</f>
        <v>Болгария</v>
      </c>
      <c r="BT18" s="3">
        <f>VLOOKUP(BS18,$O$5:$W$26,9,FALSE)</f>
        <v>3</v>
      </c>
      <c r="BU18" s="3">
        <f>VLOOKUP(BS18,$O$5:$W$26,8,FALSE)</f>
        <v>0</v>
      </c>
      <c r="BV18" s="3">
        <f>VLOOKUP(BS18,$O$5:$W$26,6,FALSE)</f>
        <v>0</v>
      </c>
      <c r="BW18" s="3" t="str">
        <f>BS18</f>
        <v>Болгария</v>
      </c>
      <c r="BX18" s="3">
        <f>VLOOKUP(BW18,$O$5:$W$26,9,FALSE)</f>
        <v>3</v>
      </c>
      <c r="BY18" s="3">
        <f>VLOOKUP(BW18,$O$5:$W$26,8,FALSE)</f>
        <v>0</v>
      </c>
      <c r="BZ18" s="3">
        <f>VLOOKUP(BW18,$O$5:$W$26,6,FALSE)</f>
        <v>0</v>
      </c>
      <c r="CB18" s="3">
        <f>VLOOKUP($BW18,General!$AA$5:$AI$26,8,FALSE)</f>
        <v>0</v>
      </c>
      <c r="CC18" s="3">
        <f>VLOOKUP($BW18,General!$AA$5:$AI$26,6,FALSE)</f>
        <v>0</v>
      </c>
      <c r="CE18" s="26" t="str">
        <f>IF(BW18=CE$17,BW$17,BW18)</f>
        <v>Болгария</v>
      </c>
      <c r="CF18" s="18" t="str">
        <f>IF(BW18=CF$17,BW$17,BW18)</f>
        <v>Болгария</v>
      </c>
      <c r="CG18" s="6">
        <f>VLOOKUP(CF18,General!$AA$5:$AI$26,8,FALSE)</f>
        <v>0</v>
      </c>
      <c r="CH18" s="6">
        <f>VLOOKUP(CF18,General!$AA$5:$AI$26,6,FALSE)</f>
        <v>0</v>
      </c>
      <c r="CI18" s="28" t="str">
        <f>IF(CG18=CG19,IF(CH18&gt;=CH19,CF18,CF19),IF(CG18&gt;CG19,CF18,CF19))</f>
        <v>Болгария</v>
      </c>
      <c r="CJ18" s="26" t="str">
        <f>IF(BW18=CJ$17,BW$17,BW18)</f>
        <v>Болгария</v>
      </c>
      <c r="CK18" s="26" t="str">
        <f>IF(CB18=CB19,IF(CC18&gt;=CC19,BW18,BW19),IF(CB18&gt;CB19,BW18,BW19))</f>
        <v>Болгария</v>
      </c>
      <c r="CL18" s="26" t="str">
        <f>BW18</f>
        <v>Болгария</v>
      </c>
      <c r="CM18" s="26" t="str">
        <f>CS18</f>
        <v>Болгария</v>
      </c>
      <c r="CN18" s="26" t="str">
        <f>CS18</f>
        <v>Болгария</v>
      </c>
      <c r="CP18" s="31" t="str">
        <f>HLOOKUP("YES",CE$16:CN$20,3,FALSE)</f>
        <v>Болгария</v>
      </c>
      <c r="CS18" s="3" t="str">
        <f t="shared" si="3"/>
        <v>Болгария</v>
      </c>
      <c r="CT18" s="3">
        <f>VLOOKUP($CS18,General!$AA$5:$AI$26,9,FALSE)</f>
        <v>0</v>
      </c>
      <c r="CU18" s="3">
        <f>VLOOKUP($CS18,General!$AA$5:$AI$26,8,FALSE)</f>
        <v>0</v>
      </c>
      <c r="CV18" s="3">
        <f>VLOOKUP($CS18,General!$AA$5:$AI$26,6,FALSE)</f>
        <v>0</v>
      </c>
      <c r="CX18" s="3" t="str">
        <f>IF(BW18=CX$17,BW$17,BW18)</f>
        <v>Болгария</v>
      </c>
      <c r="CY18" s="3" t="str">
        <f>IF(BX21=2,CX18,IF(BX21=3,IF(CU18&gt;CU19,CX18,IF(CU18=CU19,IF(CV18&gt;=CV19,CX18,CX19),CX19)),BW18))</f>
        <v>Болгария</v>
      </c>
      <c r="DD18" s="3" t="str">
        <f>IF(OR(AD18=AD19,AD18=AD17),"X","")</f>
        <v>X</v>
      </c>
      <c r="DE18" s="3" t="str">
        <f>IF(DD18="x",IF(AD18=AD19,"y",""),"")</f>
        <v>y</v>
      </c>
      <c r="DF18" s="3" t="str">
        <f>IF(DD18="x",AC18,"")</f>
        <v>Болгария</v>
      </c>
    </row>
    <row r="19" spans="1:110" ht="11.25">
      <c r="A19" s="1" t="str">
        <f>General!B19</f>
        <v>20.06.04</v>
      </c>
      <c r="B19" s="2">
        <f>General!C19</f>
        <v>0.8229166666666666</v>
      </c>
      <c r="C19" s="1" t="str">
        <f>General!D19</f>
        <v>Algarve, Faro/Loulé</v>
      </c>
      <c r="D19" s="3" t="str">
        <f>General!E19</f>
        <v>A</v>
      </c>
      <c r="E19" s="1" t="str">
        <f>General!F19</f>
        <v>A4</v>
      </c>
      <c r="F19" s="1" t="str">
        <f>General!G19</f>
        <v>A2</v>
      </c>
      <c r="G19" s="3" t="str">
        <f>General!H19</f>
        <v>Россия</v>
      </c>
      <c r="H19" s="3" t="str">
        <f>General!I19</f>
        <v>Греция</v>
      </c>
      <c r="I19" s="3">
        <f>IF(OR(OR($O$39=$G19,$O$40=$G19,$O$41=$G19,$O$42=$G19,$O$43=$G19,$O$44=$G19,$O$45=$G19,$O$46=$G19,$O$47=$G19,O$48=$G19,$O$49=$G19,$O$50=$G19,$O$51=$G19,$O$52=$G19,$O$53=$G19,$O$54=$G19),OR($O$39=$H19,$O$40=$H19,$O$41=$H19,O$42=$H19,$O$43=$H19,$O$44=$H19,$O$45=$H19,$O$46=$H19,$O$47=$H19,$O$48=$H19,$O$49=$H19,$O$50=$H19,$O$51=$H19,$O$52=$H19,$O$53=$H19,$O$54=$H19)),"",General!J19)</f>
        <v>0</v>
      </c>
      <c r="J19" s="3">
        <f>IF(OR(OR($O$39=$G19,$O$40=$G19,$O$41=$G19,$O$42=$G19,$O$43=$G19,$O$44=$G19,$O$45=$G19,$O$46=$G19,$O$47=$G19,P$48=$G19,$O$49=$G19,$O$50=$G19,$O$51=$G19,$O$52=$G19,$O$53=$G19,$O$54=$G19),OR($O$39=$H19,$O$40=$H19,$O$41=$H19,O$42=$H19,$O$43=$H19,$O$44=$H19,$O$45=$H19,$O$46=$H19,$O$47=$H19,$O$48=$H19,$O$49=$H19,$O$50=$H19,$O$51=$H19,$O$52=$H19,$O$53=$H19,$O$54=$H19)),"",General!K19)</f>
        <v>0</v>
      </c>
      <c r="K19" s="3">
        <f t="shared" si="0"/>
      </c>
      <c r="L19" s="3">
        <f t="shared" si="1"/>
      </c>
      <c r="M19" s="3">
        <f>General!N19</f>
        <v>0</v>
      </c>
      <c r="N19" s="8" t="str">
        <f>General!Z19</f>
        <v>C3</v>
      </c>
      <c r="O19" s="8" t="str">
        <f>Teams!B12</f>
        <v>Дания</v>
      </c>
      <c r="P19" s="3">
        <f>COUNT(MA_C_3_Pld)</f>
        <v>3</v>
      </c>
      <c r="Q19" s="9">
        <f>COUNTIF($K$3:$K$26,O19)</f>
        <v>0</v>
      </c>
      <c r="R19" s="9">
        <f>COUNTIF($L$3:$L$26,O19)</f>
        <v>0</v>
      </c>
      <c r="S19" s="9">
        <f>P19-Q19-R19</f>
        <v>3</v>
      </c>
      <c r="T19" s="3">
        <f>SUM(MA_C_3_Pld)</f>
        <v>0</v>
      </c>
      <c r="U19" s="9">
        <f>SUM(MA_C_3_against)</f>
        <v>0</v>
      </c>
      <c r="V19" s="9">
        <f>T19-U19</f>
        <v>0</v>
      </c>
      <c r="W19" s="9">
        <f>Q19*3+S19*1-IF(OR(O$39=O19,O$40=O19,O$41=O19,O$42=O19,O$43=O19,O$44=O19,O$45=O19,O$46=O19,O$47=O19,O$48=O19,O$49=O19,O$50=O19,O$51=O19,O$52=O19,O$53=O19,O$54=O19),1,0)</f>
        <v>3</v>
      </c>
      <c r="Y19" s="3" t="str">
        <f>IF(O19=Y$17,O$17,O19)</f>
        <v>Дания</v>
      </c>
      <c r="Z19" s="3">
        <f>VLOOKUP(Y19,$O$5:$W$26,9,FALSE)</f>
        <v>3</v>
      </c>
      <c r="AA19" s="3" t="str">
        <f>IF(Y19=AA$18,Y$18,Y19)</f>
        <v>Дания</v>
      </c>
      <c r="AB19" s="3">
        <f t="shared" si="5"/>
        <v>3</v>
      </c>
      <c r="AC19" s="3" t="str">
        <f>IF(AB19&gt;=AB20,AA19,AA20)</f>
        <v>Дания</v>
      </c>
      <c r="AD19" s="3">
        <f t="shared" si="5"/>
        <v>3</v>
      </c>
      <c r="AE19" s="3">
        <f t="shared" si="2"/>
        <v>0</v>
      </c>
      <c r="AG19" s="3" t="str">
        <f>IF(AC19=$AG$17,$AC$17,AC19)</f>
        <v>Дания</v>
      </c>
      <c r="AH19" s="3">
        <f>VLOOKUP(AG19,$O$5:$W$26,9,FALSE)</f>
        <v>3</v>
      </c>
      <c r="AI19" s="3">
        <f>VLOOKUP(AG19,$O$5:$W$26,8,FALSE)</f>
        <v>0</v>
      </c>
      <c r="AJ19" s="3" t="str">
        <f>IF(AG19=AJ$18,AG$18,AG19)</f>
        <v>Дания</v>
      </c>
      <c r="AK19" s="3">
        <f>VLOOKUP(AJ19,$O$5:$W$26,9,FALSE)</f>
        <v>3</v>
      </c>
      <c r="AL19" s="3">
        <f>VLOOKUP(AJ19,$O$5:$W$26,8,FALSE)</f>
        <v>0</v>
      </c>
      <c r="AM19" s="3" t="str">
        <f>IF(AL19&gt;=AL20,AJ19,AJ20)</f>
        <v>Дания</v>
      </c>
      <c r="AN19" s="3">
        <f>VLOOKUP(AM19,$O$5:$W$26,9,FALSE)</f>
        <v>3</v>
      </c>
      <c r="AO19" s="3">
        <f>VLOOKUP(AM19,$O$5:$W$26,8,FALSE)</f>
        <v>0</v>
      </c>
      <c r="AP19" s="3">
        <v>3</v>
      </c>
      <c r="AQ19" s="3">
        <f>VLOOKUP(AM19,$O$5:$W$26,6,FALSE)</f>
        <v>0</v>
      </c>
      <c r="AS19" s="3" t="str">
        <f>IF(AM19=AS$17,AM$17,AM19)</f>
        <v>Дания</v>
      </c>
      <c r="AT19" s="3">
        <f>VLOOKUP(AS19,$O$5:$W$26,9,FALSE)</f>
        <v>3</v>
      </c>
      <c r="AU19" s="3">
        <f>VLOOKUP(AS19,$O$5:$W$26,6,FALSE)</f>
        <v>0</v>
      </c>
      <c r="AV19" s="3" t="str">
        <f>IF(AS19=AV$18,AS$18,AS19)</f>
        <v>Дания</v>
      </c>
      <c r="AW19" s="3">
        <f>VLOOKUP(AV19,$O$5:$W$26,9,FALSE)</f>
        <v>3</v>
      </c>
      <c r="AX19" s="3">
        <f>VLOOKUP(AV19,$O$5:$W$26,6,FALSE)</f>
        <v>0</v>
      </c>
      <c r="AY19" s="3" t="str">
        <f>IF(AX19&gt;=AX20,AV19,AV20)</f>
        <v>Дания</v>
      </c>
      <c r="AZ19" s="3">
        <f>VLOOKUP(AY19,$O$5:$W$26,9,FALSE)</f>
        <v>3</v>
      </c>
      <c r="BA19" s="3">
        <f>VLOOKUP(AY19,$O$5:$W$26,6,FALSE)</f>
        <v>0</v>
      </c>
      <c r="BB19" s="3">
        <v>3</v>
      </c>
      <c r="BD19" s="3" t="str">
        <f>IF(AC19=BD$17,AC$17,AC19)</f>
        <v>Дания</v>
      </c>
      <c r="BE19" s="3">
        <f>VLOOKUP(BD19,$O$5:$W$26,9,FALSE)</f>
        <v>3</v>
      </c>
      <c r="BF19" s="3">
        <f>VLOOKUP(BD19,$O$5:$W$26,8,FALSE)</f>
        <v>0</v>
      </c>
      <c r="BG19" s="3" t="str">
        <f>IF(BD19=BG$18,BD$18,BD19)</f>
        <v>Дания</v>
      </c>
      <c r="BH19" s="3">
        <f>VLOOKUP(BG19,$O$5:$W$26,9,FALSE)</f>
        <v>3</v>
      </c>
      <c r="BI19" s="3">
        <f>VLOOKUP(BG19,$O$5:$W$26,8,FALSE)</f>
        <v>0</v>
      </c>
      <c r="BJ19" s="3" t="str">
        <f>IF(BH19=BH20,IF(BI19&gt;=BI20,BG19,BG20),BG19)</f>
        <v>Дания</v>
      </c>
      <c r="BK19" s="3">
        <f>VLOOKUP(BJ19,$O$5:$W$26,9,FALSE)</f>
        <v>3</v>
      </c>
      <c r="BL19" s="3">
        <f>VLOOKUP(BJ19,$O$5:$W$26,8,FALSE)</f>
        <v>0</v>
      </c>
      <c r="BM19" s="3">
        <f>VLOOKUP(BJ19,$O$5:$W$26,6,FALSE)</f>
        <v>0</v>
      </c>
      <c r="BO19" s="3" t="str">
        <f>IF(BJ19=BO$17,BJ$17,BJ19)</f>
        <v>Дания</v>
      </c>
      <c r="BP19" s="3">
        <f>VLOOKUP(BO19,$O$5:$W$26,9,FALSE)</f>
        <v>3</v>
      </c>
      <c r="BQ19" s="3">
        <f>VLOOKUP(BO19,$O$5:$W$26,8,FALSE)</f>
        <v>0</v>
      </c>
      <c r="BR19" s="3">
        <f>VLOOKUP(BO19,$O$5:$W$26,6,FALSE)</f>
        <v>0</v>
      </c>
      <c r="BS19" s="3" t="str">
        <f>IF(BO19=BS$18,BO$18,BO19)</f>
        <v>Дания</v>
      </c>
      <c r="BT19" s="3">
        <f>VLOOKUP(BS19,$O$5:$W$26,9,FALSE)</f>
        <v>3</v>
      </c>
      <c r="BU19" s="3">
        <f>VLOOKUP(BS19,$O$5:$W$26,8,FALSE)</f>
        <v>0</v>
      </c>
      <c r="BV19" s="3">
        <f>VLOOKUP(BS19,$O$5:$W$26,6,FALSE)</f>
        <v>0</v>
      </c>
      <c r="BW19" s="3" t="str">
        <f>IF(AND(BT19=BT20,BU19=BU20),IF(BV19&gt;=BV20,BS19,BS20),BS19)</f>
        <v>Дания</v>
      </c>
      <c r="BX19" s="3">
        <f>VLOOKUP(BW19,$O$5:$W$26,9,FALSE)</f>
        <v>3</v>
      </c>
      <c r="BY19" s="3">
        <f>VLOOKUP(BW19,$O$5:$W$26,8,FALSE)</f>
        <v>0</v>
      </c>
      <c r="BZ19" s="3">
        <f>VLOOKUP(BW19,$O$5:$W$26,6,FALSE)</f>
        <v>0</v>
      </c>
      <c r="CB19" s="3">
        <f>VLOOKUP($BW19,General!$AA$5:$AI$26,8,FALSE)</f>
        <v>0</v>
      </c>
      <c r="CC19" s="3">
        <f>VLOOKUP($BW19,General!$AA$5:$AI$26,6,FALSE)</f>
        <v>0</v>
      </c>
      <c r="CE19" s="26" t="str">
        <f>IF(BW19=CE$17,BW$17,BW19)</f>
        <v>Дания</v>
      </c>
      <c r="CF19" s="18" t="str">
        <f>IF(BW19=CF$17,BW$17,BW19)</f>
        <v>Дания</v>
      </c>
      <c r="CG19" s="6">
        <f>VLOOKUP(CF19,General!$AA$5:$AI$26,8,FALSE)</f>
        <v>0</v>
      </c>
      <c r="CH19" s="6">
        <f>VLOOKUP(CF19,General!$AA$5:$AI$26,6,FALSE)</f>
        <v>0</v>
      </c>
      <c r="CI19" s="28" t="str">
        <f>IF(CF19=CI$18,CF$18,CF19)</f>
        <v>Дания</v>
      </c>
      <c r="CJ19" s="26" t="str">
        <f>IF(BW19=CJ$17,BW$17,BW19)</f>
        <v>Дания</v>
      </c>
      <c r="CK19" s="26" t="str">
        <f>IF(BW19=CK$18,BW$18,BW19)</f>
        <v>Дания</v>
      </c>
      <c r="CL19" s="26" t="str">
        <f>BW19</f>
        <v>Дания</v>
      </c>
      <c r="CM19" s="26" t="str">
        <f>CS19</f>
        <v>Дания</v>
      </c>
      <c r="CN19" s="26" t="str">
        <f>CS19</f>
        <v>Дания</v>
      </c>
      <c r="CP19" s="31" t="str">
        <f>HLOOKUP("YES",CE$16:CN$20,4,FALSE)</f>
        <v>Дания</v>
      </c>
      <c r="CS19" s="3" t="str">
        <f t="shared" si="3"/>
        <v>Дания</v>
      </c>
      <c r="CT19" s="3">
        <f>VLOOKUP($CS19,General!$AA$5:$AI$26,9,FALSE)</f>
        <v>0</v>
      </c>
      <c r="CU19" s="3">
        <f>VLOOKUP($CS19,General!$AA$5:$AI$26,8,FALSE)</f>
        <v>0</v>
      </c>
      <c r="CV19" s="3">
        <f>VLOOKUP($CS19,General!$AA$5:$AI$26,6,FALSE)</f>
        <v>0</v>
      </c>
      <c r="CX19" s="3" t="str">
        <f>IF(BW19=CX$17,BW$17,BW19)</f>
        <v>Дания</v>
      </c>
      <c r="CY19" s="3" t="str">
        <f>IF(CX19=CY$18,CX$18,CX19)</f>
        <v>Дания</v>
      </c>
      <c r="DD19" s="3" t="str">
        <f>IF(OR(AD19=AD20,AD19=AD18),"X","")</f>
        <v>X</v>
      </c>
      <c r="DE19" s="3" t="str">
        <f>IF(DD19="x",IF(AD19=AD20,"y",""),"")</f>
        <v>y</v>
      </c>
      <c r="DF19" s="3" t="str">
        <f>IF(DD19="x",AC19,"")</f>
        <v>Дания</v>
      </c>
    </row>
    <row r="20" spans="1:110" ht="11.25">
      <c r="A20" s="1" t="str">
        <f>General!B20</f>
        <v>20.06.04</v>
      </c>
      <c r="B20" s="2">
        <f>General!C20</f>
        <v>0.8229166666666666</v>
      </c>
      <c r="C20" s="1" t="str">
        <f>General!D20</f>
        <v>José Alvalade, Lisboa</v>
      </c>
      <c r="D20" s="3" t="str">
        <f>General!E20</f>
        <v>A</v>
      </c>
      <c r="E20" s="1" t="str">
        <f>General!F20</f>
        <v>A3</v>
      </c>
      <c r="F20" s="1" t="str">
        <f>General!G20</f>
        <v>A1</v>
      </c>
      <c r="G20" s="3" t="str">
        <f>General!H20</f>
        <v>Испания</v>
      </c>
      <c r="H20" s="3" t="str">
        <f>General!I20</f>
        <v>Португалия</v>
      </c>
      <c r="I20" s="3">
        <f>IF(OR(OR($O$39=$G20,$O$40=$G20,$O$41=$G20,$O$42=$G20,$O$43=$G20,$O$44=$G20,$O$45=$G20,$O$46=$G20,$O$47=$G20,O$48=$G20,$O$49=$G20,$O$50=$G20,$O$51=$G20,$O$52=$G20,$O$53=$G20,$O$54=$G20),OR($O$39=$H20,$O$40=$H20,$O$41=$H20,O$42=$H20,$O$43=$H20,$O$44=$H20,$O$45=$H20,$O$46=$H20,$O$47=$H20,$O$48=$H20,$O$49=$H20,$O$50=$H20,$O$51=$H20,$O$52=$H20,$O$53=$H20,$O$54=$H20)),"",General!J20)</f>
        <v>0</v>
      </c>
      <c r="J20" s="3">
        <f>IF(OR(OR($O$39=$G20,$O$40=$G20,$O$41=$G20,$O$42=$G20,$O$43=$G20,$O$44=$G20,$O$45=$G20,$O$46=$G20,$O$47=$G20,P$48=$G20,$O$49=$G20,$O$50=$G20,$O$51=$G20,$O$52=$G20,$O$53=$G20,$O$54=$G20),OR($O$39=$H20,$O$40=$H20,$O$41=$H20,O$42=$H20,$O$43=$H20,$O$44=$H20,$O$45=$H20,$O$46=$H20,$O$47=$H20,$O$48=$H20,$O$49=$H20,$O$50=$H20,$O$51=$H20,$O$52=$H20,$O$53=$H20,$O$54=$H20)),"",General!K20)</f>
        <v>0</v>
      </c>
      <c r="K20" s="3">
        <f t="shared" si="0"/>
      </c>
      <c r="L20" s="3">
        <f t="shared" si="1"/>
      </c>
      <c r="M20" s="3">
        <f>General!N20</f>
        <v>0</v>
      </c>
      <c r="N20" s="8" t="str">
        <f>General!Z20</f>
        <v>C4</v>
      </c>
      <c r="O20" s="8" t="str">
        <f>Teams!B13</f>
        <v>Италия</v>
      </c>
      <c r="P20" s="3">
        <f>COUNT(MA_C_4_Pld)</f>
        <v>3</v>
      </c>
      <c r="Q20" s="9">
        <f>COUNTIF($K$3:$K$26,O20)</f>
        <v>0</v>
      </c>
      <c r="R20" s="9">
        <f>COUNTIF($L$3:$L$26,O20)</f>
        <v>0</v>
      </c>
      <c r="S20" s="9">
        <f>P20-Q20-R20</f>
        <v>3</v>
      </c>
      <c r="T20" s="3">
        <f>SUM(MA_C_4_Pld)</f>
        <v>0</v>
      </c>
      <c r="U20" s="9">
        <f>SUM(MA_C_4_against)</f>
        <v>0</v>
      </c>
      <c r="V20" s="9">
        <f>T20-U20</f>
        <v>0</v>
      </c>
      <c r="W20" s="9">
        <f>Q20*3+S20*1-IF(OR(O$39=O20,O$40=O20,O$41=O20,O$42=O20,O$43=O20,O$44=O20,O$45=O20,O$46=O20,O$47=O20,O$48=O20,O$49=O20,O$50=O20,O$51=O20,O$52=O20,O$53=O20,O$54=O20),1,0)</f>
        <v>3</v>
      </c>
      <c r="Y20" s="3" t="str">
        <f>IF(O20=Y$17,O$17,O20)</f>
        <v>Италия</v>
      </c>
      <c r="Z20" s="3">
        <f>VLOOKUP(Y20,$O$5:$W$26,9,FALSE)</f>
        <v>3</v>
      </c>
      <c r="AA20" s="3" t="str">
        <f>IF(Y20=AA$18,Y$18,Y20)</f>
        <v>Италия</v>
      </c>
      <c r="AB20" s="3">
        <f t="shared" si="5"/>
        <v>3</v>
      </c>
      <c r="AC20" s="3" t="str">
        <f>IF(AA20=AC19,AA19,AA20)</f>
        <v>Италия</v>
      </c>
      <c r="AD20" s="3">
        <f t="shared" si="5"/>
        <v>3</v>
      </c>
      <c r="AE20" s="3">
        <f t="shared" si="2"/>
        <v>0</v>
      </c>
      <c r="AG20" s="3" t="str">
        <f>IF(AC20=$AG$17,$AC$17,AC20)</f>
        <v>Италия</v>
      </c>
      <c r="AH20" s="3">
        <f>VLOOKUP(AG20,$O$5:$W$26,9,FALSE)</f>
        <v>3</v>
      </c>
      <c r="AI20" s="3">
        <f>VLOOKUP(AG20,$O$5:$W$26,8,FALSE)</f>
        <v>0</v>
      </c>
      <c r="AJ20" s="3" t="str">
        <f>IF(AG20=AJ$18,AG$18,AG20)</f>
        <v>Италия</v>
      </c>
      <c r="AK20" s="3">
        <f>VLOOKUP(AJ20,$O$5:$W$26,9,FALSE)</f>
        <v>3</v>
      </c>
      <c r="AL20" s="3">
        <f>VLOOKUP(AJ20,$O$5:$W$26,8,FALSE)</f>
        <v>0</v>
      </c>
      <c r="AM20" s="3" t="str">
        <f>IF(AJ20=AM19,AJ19,AJ20)</f>
        <v>Италия</v>
      </c>
      <c r="AN20" s="3">
        <f>VLOOKUP(AM20,$O$5:$W$26,9,FALSE)</f>
        <v>3</v>
      </c>
      <c r="AO20" s="3">
        <f>VLOOKUP(AM20,$O$5:$W$26,8,FALSE)</f>
        <v>0</v>
      </c>
      <c r="AP20" s="3">
        <v>4</v>
      </c>
      <c r="AQ20" s="3">
        <f>VLOOKUP(AM20,$O$5:$W$26,6,FALSE)</f>
        <v>0</v>
      </c>
      <c r="AS20" s="3" t="str">
        <f>IF(AM20=AS$17,AM$17,AM20)</f>
        <v>Италия</v>
      </c>
      <c r="AT20" s="3">
        <f>VLOOKUP(AS20,$O$5:$W$26,9,FALSE)</f>
        <v>3</v>
      </c>
      <c r="AU20" s="3">
        <f>VLOOKUP(AS20,$O$5:$W$26,6,FALSE)</f>
        <v>0</v>
      </c>
      <c r="AV20" s="3" t="str">
        <f>IF(AS20=AV$18,AS$18,AS20)</f>
        <v>Италия</v>
      </c>
      <c r="AW20" s="3">
        <f>VLOOKUP(AV20,$O$5:$W$26,9,FALSE)</f>
        <v>3</v>
      </c>
      <c r="AX20" s="3">
        <f>VLOOKUP(AV20,$O$5:$W$26,6,FALSE)</f>
        <v>0</v>
      </c>
      <c r="AY20" s="3" t="str">
        <f>IF(AV20=AY19,AV19,AV20)</f>
        <v>Италия</v>
      </c>
      <c r="AZ20" s="3">
        <f>VLOOKUP(AY20,$O$5:$W$26,9,FALSE)</f>
        <v>3</v>
      </c>
      <c r="BA20" s="3">
        <f>VLOOKUP(AY20,$O$5:$W$26,6,FALSE)</f>
        <v>0</v>
      </c>
      <c r="BB20" s="3">
        <v>4</v>
      </c>
      <c r="BD20" s="3" t="str">
        <f>IF(AC20=BD$17,AC$17,AC20)</f>
        <v>Италия</v>
      </c>
      <c r="BE20" s="3">
        <f>VLOOKUP(BD20,$O$5:$W$26,9,FALSE)</f>
        <v>3</v>
      </c>
      <c r="BF20" s="3">
        <f>VLOOKUP(BD20,$O$5:$W$26,8,FALSE)</f>
        <v>0</v>
      </c>
      <c r="BG20" s="3" t="str">
        <f>IF(BD20=BG$18,BD$18,BD20)</f>
        <v>Италия</v>
      </c>
      <c r="BH20" s="3">
        <f>VLOOKUP(BG20,$O$5:$W$26,9,FALSE)</f>
        <v>3</v>
      </c>
      <c r="BI20" s="3">
        <f>VLOOKUP(BG20,$O$5:$W$26,8,FALSE)</f>
        <v>0</v>
      </c>
      <c r="BJ20" s="3" t="str">
        <f>IF(BG20=BJ19,BG19,BG20)</f>
        <v>Италия</v>
      </c>
      <c r="BK20" s="3">
        <f>VLOOKUP(BJ20,$O$5:$W$26,9,FALSE)</f>
        <v>3</v>
      </c>
      <c r="BL20" s="3">
        <f>VLOOKUP(BJ20,$O$5:$W$26,8,FALSE)</f>
        <v>0</v>
      </c>
      <c r="BM20" s="3">
        <f>VLOOKUP(BJ20,$O$5:$W$26,6,FALSE)</f>
        <v>0</v>
      </c>
      <c r="BO20" s="3" t="str">
        <f>IF(BJ20=BO$17,BJ$17,BJ20)</f>
        <v>Италия</v>
      </c>
      <c r="BP20" s="3">
        <f>VLOOKUP(BO20,$O$5:$W$26,9,FALSE)</f>
        <v>3</v>
      </c>
      <c r="BQ20" s="3">
        <f>VLOOKUP(BO20,$O$5:$W$26,8,FALSE)</f>
        <v>0</v>
      </c>
      <c r="BR20" s="3">
        <f>VLOOKUP(BO20,$O$5:$W$26,6,FALSE)</f>
        <v>0</v>
      </c>
      <c r="BS20" s="3" t="str">
        <f>IF(BO20=BS$18,BO$18,BO20)</f>
        <v>Италия</v>
      </c>
      <c r="BT20" s="3">
        <f>VLOOKUP(BS20,$O$5:$W$26,9,FALSE)</f>
        <v>3</v>
      </c>
      <c r="BU20" s="3">
        <f>VLOOKUP(BS20,$O$5:$W$26,8,FALSE)</f>
        <v>0</v>
      </c>
      <c r="BV20" s="3">
        <f>VLOOKUP(BS20,$O$5:$W$26,6,FALSE)</f>
        <v>0</v>
      </c>
      <c r="BW20" s="3" t="str">
        <f>IF(BS20=BW19,BS19,BS20)</f>
        <v>Италия</v>
      </c>
      <c r="BX20" s="3">
        <f>VLOOKUP(BW20,$O$5:$W$26,9,FALSE)</f>
        <v>3</v>
      </c>
      <c r="BY20" s="3">
        <f>VLOOKUP(BW20,$O$5:$W$26,8,FALSE)</f>
        <v>0</v>
      </c>
      <c r="BZ20" s="3">
        <f>VLOOKUP(BW20,$O$5:$W$26,6,FALSE)</f>
        <v>0</v>
      </c>
      <c r="CB20" s="3">
        <f>VLOOKUP($BW20,General!$AA$5:$AI$26,8,FALSE)</f>
        <v>0</v>
      </c>
      <c r="CC20" s="3">
        <f>VLOOKUP($BW20,General!$AA$5:$AI$26,6,FALSE)</f>
        <v>0</v>
      </c>
      <c r="CE20" s="26" t="str">
        <f>IF(BW20=CE$17,BW$17,BW20)</f>
        <v>Италия</v>
      </c>
      <c r="CF20" s="18" t="str">
        <f>IF(BW20=CF$17,BW$17,BW20)</f>
        <v>Италия</v>
      </c>
      <c r="CG20" s="6">
        <f>VLOOKUP(CF20,General!$AA$5:$AI$26,8,FALSE)</f>
        <v>0</v>
      </c>
      <c r="CH20" s="6">
        <f>VLOOKUP(CF20,General!$AA$5:$AI$26,6,FALSE)</f>
        <v>0</v>
      </c>
      <c r="CI20" s="28" t="str">
        <f>IF(CF20=CI$18,CF$18,CF20)</f>
        <v>Италия</v>
      </c>
      <c r="CJ20" s="26" t="str">
        <f>IF(BW20=CJ$17,BW$17,BW20)</f>
        <v>Италия</v>
      </c>
      <c r="CK20" s="26" t="str">
        <f>IF(BW20=CK$18,BW$18,BW20)</f>
        <v>Италия</v>
      </c>
      <c r="CL20" s="26" t="str">
        <f>BW20</f>
        <v>Италия</v>
      </c>
      <c r="CM20" s="26" t="str">
        <f>CS20</f>
        <v>Италия</v>
      </c>
      <c r="CN20" s="26" t="str">
        <f>CS20</f>
        <v>Италия</v>
      </c>
      <c r="CP20" s="31" t="str">
        <f>HLOOKUP("YES",CE$16:CN$20,5,FALSE)</f>
        <v>Италия</v>
      </c>
      <c r="CS20" s="3" t="str">
        <f t="shared" si="3"/>
        <v>Италия</v>
      </c>
      <c r="CT20" s="3">
        <f>VLOOKUP($CS20,General!$AA$5:$AI$26,9,FALSE)</f>
        <v>0</v>
      </c>
      <c r="CU20" s="3">
        <f>VLOOKUP($CS20,General!$AA$5:$AI$26,8,FALSE)</f>
        <v>0</v>
      </c>
      <c r="CV20" s="3">
        <f>VLOOKUP($CS20,General!$AA$5:$AI$26,6,FALSE)</f>
        <v>0</v>
      </c>
      <c r="CX20" s="3" t="str">
        <f>IF(BW20=CX$17,BW$17,BW20)</f>
        <v>Италия</v>
      </c>
      <c r="CY20" s="3" t="str">
        <f>IF(CX20=CY$6,CX$6,CX20)</f>
        <v>Италия</v>
      </c>
      <c r="DD20" s="3" t="str">
        <f>IF(OR(AD20=AD21,AD20=AD19),"X","")</f>
        <v>X</v>
      </c>
      <c r="DE20" s="3">
        <f>IF(DD20="x",IF(AD20=AD21,"y",""),"")</f>
      </c>
      <c r="DF20" s="3" t="str">
        <f>IF(DD20="x",AC20,"")</f>
        <v>Италия</v>
      </c>
    </row>
    <row r="21" spans="1:111" ht="11.25">
      <c r="A21" s="1" t="str">
        <f>General!B21</f>
        <v>21.06.04</v>
      </c>
      <c r="B21" s="2">
        <f>General!C21</f>
        <v>0.8229166666666666</v>
      </c>
      <c r="C21" s="1" t="str">
        <f>General!D21</f>
        <v>Luz, Lisboa</v>
      </c>
      <c r="D21" s="3" t="str">
        <f>General!E21</f>
        <v>B</v>
      </c>
      <c r="E21" s="1" t="str">
        <f>General!F21</f>
        <v>B4</v>
      </c>
      <c r="F21" s="1" t="str">
        <f>General!G21</f>
        <v>B2</v>
      </c>
      <c r="G21" s="3" t="str">
        <f>General!H21</f>
        <v>Хорватия</v>
      </c>
      <c r="H21" s="3" t="str">
        <f>General!I21</f>
        <v>Англия</v>
      </c>
      <c r="I21" s="3">
        <f>IF(OR(OR($O$39=$G21,$O$40=$G21,$O$41=$G21,$O$42=$G21,$O$43=$G21,$O$44=$G21,$O$45=$G21,$O$46=$G21,$O$47=$G21,O$48=$G21,$O$49=$G21,$O$50=$G21,$O$51=$G21,$O$52=$G21,$O$53=$G21,$O$54=$G21),OR($O$39=$H21,$O$40=$H21,$O$41=$H21,O$42=$H21,$O$43=$H21,$O$44=$H21,$O$45=$H21,$O$46=$H21,$O$47=$H21,$O$48=$H21,$O$49=$H21,$O$50=$H21,$O$51=$H21,$O$52=$H21,$O$53=$H21,$O$54=$H21)),"",General!J21)</f>
        <v>0</v>
      </c>
      <c r="J21" s="3">
        <f>IF(OR(OR($O$39=$G21,$O$40=$G21,$O$41=$G21,$O$42=$G21,$O$43=$G21,$O$44=$G21,$O$45=$G21,$O$46=$G21,$O$47=$G21,P$48=$G21,$O$49=$G21,$O$50=$G21,$O$51=$G21,$O$52=$G21,$O$53=$G21,$O$54=$G21),OR($O$39=$H21,$O$40=$H21,$O$41=$H21,O$42=$H21,$O$43=$H21,$O$44=$H21,$O$45=$H21,$O$46=$H21,$O$47=$H21,$O$48=$H21,$O$49=$H21,$O$50=$H21,$O$51=$H21,$O$52=$H21,$O$53=$H21,$O$54=$H21)),"",General!K21)</f>
        <v>0</v>
      </c>
      <c r="K21" s="3">
        <f t="shared" si="0"/>
      </c>
      <c r="L21" s="3">
        <f t="shared" si="1"/>
      </c>
      <c r="M21" s="3">
        <f>General!N21</f>
        <v>0</v>
      </c>
      <c r="N21" s="3">
        <f>General!Z21</f>
        <v>0</v>
      </c>
      <c r="O21" s="4" t="s">
        <v>107</v>
      </c>
      <c r="P21" s="5"/>
      <c r="Q21" s="5"/>
      <c r="R21" s="5"/>
      <c r="S21" s="5"/>
      <c r="T21" s="5"/>
      <c r="U21" s="5"/>
      <c r="V21" s="5"/>
      <c r="W21" s="5"/>
      <c r="AD21" s="3" t="s">
        <v>75</v>
      </c>
      <c r="BX21" s="3">
        <f>4-COUNTIF(BX17:BX20,-1)</f>
        <v>4</v>
      </c>
      <c r="CE21" s="26"/>
      <c r="CF21" s="18"/>
      <c r="CG21" s="6"/>
      <c r="CH21" s="6"/>
      <c r="CI21" s="28"/>
      <c r="CJ21" s="26"/>
      <c r="CK21" s="26"/>
      <c r="CL21" s="26"/>
      <c r="CM21" s="26"/>
      <c r="CN21" s="26"/>
      <c r="CP21" s="31"/>
      <c r="DD21" s="3">
        <f>COUNTIF(DD17:DD20,"X")</f>
        <v>4</v>
      </c>
      <c r="DE21" s="3">
        <f>COUNTIF(DE17:DE20,"y")</f>
        <v>3</v>
      </c>
      <c r="DF21" s="3">
        <f>COUNTIF(DD17:DD20,"X")</f>
        <v>4</v>
      </c>
      <c r="DG21" s="3" t="b">
        <f>OR(DD21=2,AND(DD21=4,DE21&lt;3))</f>
        <v>0</v>
      </c>
    </row>
    <row r="22" spans="1:94" ht="11.25">
      <c r="A22" s="1" t="str">
        <f>General!B22</f>
        <v>21.06.04</v>
      </c>
      <c r="B22" s="2">
        <f>General!C22</f>
        <v>0.8229166666666666</v>
      </c>
      <c r="C22" s="1" t="str">
        <f>General!D22</f>
        <v>Cidade de Coimbra, Coimbra</v>
      </c>
      <c r="D22" s="3" t="str">
        <f>General!E22</f>
        <v>B</v>
      </c>
      <c r="E22" s="1" t="str">
        <f>General!F22</f>
        <v>B3</v>
      </c>
      <c r="F22" s="1" t="str">
        <f>General!G22</f>
        <v>B1</v>
      </c>
      <c r="G22" s="3" t="str">
        <f>General!H22</f>
        <v>Швейцария</v>
      </c>
      <c r="H22" s="3" t="str">
        <f>General!I22</f>
        <v>Франция</v>
      </c>
      <c r="I22" s="3">
        <f>IF(OR(OR($O$39=$G22,$O$40=$G22,$O$41=$G22,$O$42=$G22,$O$43=$G22,$O$44=$G22,$O$45=$G22,$O$46=$G22,$O$47=$G22,O$48=$G22,$O$49=$G22,$O$50=$G22,$O$51=$G22,$O$52=$G22,$O$53=$G22,$O$54=$G22),OR($O$39=$H22,$O$40=$H22,$O$41=$H22,O$42=$H22,$O$43=$H22,$O$44=$H22,$O$45=$H22,$O$46=$H22,$O$47=$H22,$O$48=$H22,$O$49=$H22,$O$50=$H22,$O$51=$H22,$O$52=$H22,$O$53=$H22,$O$54=$H22)),"",General!J22)</f>
        <v>0</v>
      </c>
      <c r="J22" s="3">
        <f>IF(OR(OR($O$39=$G22,$O$40=$G22,$O$41=$G22,$O$42=$G22,$O$43=$G22,$O$44=$G22,$O$45=$G22,$O$46=$G22,$O$47=$G22,P$48=$G22,$O$49=$G22,$O$50=$G22,$O$51=$G22,$O$52=$G22,$O$53=$G22,$O$54=$G22),OR($O$39=$H22,$O$40=$H22,$O$41=$H22,O$42=$H22,$O$43=$H22,$O$44=$H22,$O$45=$H22,$O$46=$H22,$O$47=$H22,$O$48=$H22,$O$49=$H22,$O$50=$H22,$O$51=$H22,$O$52=$H22,$O$53=$H22,$O$54=$H22)),"",General!K22)</f>
        <v>0</v>
      </c>
      <c r="K22" s="3">
        <f t="shared" si="0"/>
      </c>
      <c r="L22" s="3">
        <f t="shared" si="1"/>
      </c>
      <c r="M22" s="3">
        <f>General!N22</f>
        <v>0</v>
      </c>
      <c r="N22" s="3">
        <f>General!Z22</f>
        <v>0</v>
      </c>
      <c r="O22" s="6"/>
      <c r="P22" s="7" t="s">
        <v>65</v>
      </c>
      <c r="Q22" s="7" t="s">
        <v>66</v>
      </c>
      <c r="R22" s="7" t="s">
        <v>67</v>
      </c>
      <c r="S22" s="7" t="s">
        <v>43</v>
      </c>
      <c r="T22" s="7" t="s">
        <v>68</v>
      </c>
      <c r="U22" s="7" t="s">
        <v>34</v>
      </c>
      <c r="V22" s="7" t="s">
        <v>69</v>
      </c>
      <c r="W22" s="7" t="s">
        <v>70</v>
      </c>
      <c r="CE22" s="26" t="str">
        <f>IF(OR(BX27=2,BX27=4),"YES","NO")</f>
        <v>YES</v>
      </c>
      <c r="CF22" s="18"/>
      <c r="CG22" s="6"/>
      <c r="CH22" s="6"/>
      <c r="CI22" s="28" t="str">
        <f>IF(AND(BY23=BY24,BY24=BY25,BZ23=BZ24,BZ24=BZ25,BX27=3),"YES","NO")</f>
        <v>NO</v>
      </c>
      <c r="CJ22" s="26" t="str">
        <f>IF(OR(AND(BX27=3,BY23=BY24,BY24&lt;&gt;BY25,BZ23=BZ24),AND(BX27=3,BY23=BY24,BY24=BY25,BZ23=BZ24,BZ24&lt;&gt;BZ25)),"YES","NO")</f>
        <v>NO</v>
      </c>
      <c r="CK22" s="26" t="str">
        <f>IF(OR(AND(BX27=3,BY23&lt;&gt;BY24,BY24=BY25,BZ24=BZ25),AND(BY23=BY24,BY24=BY25,BZ23&lt;&gt;BZ24,BZ24=BZ25)),"YES","NO")</f>
        <v>NO</v>
      </c>
      <c r="CL22" s="26" t="str">
        <f>IF(AND(BX27=3,COUNTIF(CI22:CK22,"YES")=0),"YES","NO")</f>
        <v>NO</v>
      </c>
      <c r="CM22" s="26" t="str">
        <f>IF(OR(BX27=1,BX27=0),"YES","NO")</f>
        <v>NO</v>
      </c>
      <c r="CN22" s="26" t="str">
        <f>IF(COUNTIF(CE22:CM22,"YES")&gt;0,"NO","YES")</f>
        <v>NO</v>
      </c>
      <c r="CP22" s="31"/>
    </row>
    <row r="23" spans="1:110" ht="11.25">
      <c r="A23" s="1" t="str">
        <f>General!B23</f>
        <v>22.06.04</v>
      </c>
      <c r="B23" s="2">
        <f>General!C23</f>
        <v>0.8229166666666666</v>
      </c>
      <c r="C23" s="1" t="str">
        <f>General!D23</f>
        <v>D. Afonso Henriques, Guimarães</v>
      </c>
      <c r="D23" s="3" t="str">
        <f>General!E23</f>
        <v>C</v>
      </c>
      <c r="E23" s="1" t="str">
        <f>General!F23</f>
        <v>C4</v>
      </c>
      <c r="F23" s="1" t="str">
        <f>General!G23</f>
        <v>C2</v>
      </c>
      <c r="G23" s="3" t="str">
        <f>General!H23</f>
        <v>Италия</v>
      </c>
      <c r="H23" s="3" t="str">
        <f>General!I23</f>
        <v>Болгария</v>
      </c>
      <c r="I23" s="3">
        <f>IF(OR(OR($O$39=$G23,$O$40=$G23,$O$41=$G23,$O$42=$G23,$O$43=$G23,$O$44=$G23,$O$45=$G23,$O$46=$G23,$O$47=$G23,O$48=$G23,$O$49=$G23,$O$50=$G23,$O$51=$G23,$O$52=$G23,$O$53=$G23,$O$54=$G23),OR($O$39=$H23,$O$40=$H23,$O$41=$H23,O$42=$H23,$O$43=$H23,$O$44=$H23,$O$45=$H23,$O$46=$H23,$O$47=$H23,$O$48=$H23,$O$49=$H23,$O$50=$H23,$O$51=$H23,$O$52=$H23,$O$53=$H23,$O$54=$H23)),"",General!J23)</f>
        <v>0</v>
      </c>
      <c r="J23" s="3">
        <f>IF(OR(OR($O$39=$G23,$O$40=$G23,$O$41=$G23,$O$42=$G23,$O$43=$G23,$O$44=$G23,$O$45=$G23,$O$46=$G23,$O$47=$G23,P$48=$G23,$O$49=$G23,$O$50=$G23,$O$51=$G23,$O$52=$G23,$O$53=$G23,$O$54=$G23),OR($O$39=$H23,$O$40=$H23,$O$41=$H23,O$42=$H23,$O$43=$H23,$O$44=$H23,$O$45=$H23,$O$46=$H23,$O$47=$H23,$O$48=$H23,$O$49=$H23,$O$50=$H23,$O$51=$H23,$O$52=$H23,$O$53=$H23,$O$54=$H23)),"",General!K23)</f>
        <v>0</v>
      </c>
      <c r="K23" s="3">
        <f t="shared" si="0"/>
      </c>
      <c r="L23" s="3">
        <f t="shared" si="1"/>
      </c>
      <c r="M23" s="3">
        <f>General!N23</f>
        <v>0</v>
      </c>
      <c r="N23" s="8" t="str">
        <f>General!Z23</f>
        <v>D1</v>
      </c>
      <c r="O23" s="8" t="str">
        <f>Teams!B14</f>
        <v>Чехия</v>
      </c>
      <c r="P23" s="3">
        <f>COUNT(MA_D1_Pld)</f>
        <v>3</v>
      </c>
      <c r="Q23" s="9">
        <f>COUNTIF($K$3:$K$26,O23)</f>
        <v>0</v>
      </c>
      <c r="R23" s="9">
        <f>COUNTIF($L$3:$L$26,O23)</f>
        <v>0</v>
      </c>
      <c r="S23" s="9">
        <f>P23-Q23-R23</f>
        <v>3</v>
      </c>
      <c r="T23" s="3">
        <f>SUM(MA_D1_Pld)</f>
        <v>0</v>
      </c>
      <c r="U23" s="9">
        <f>SUM(MA_D1_against)</f>
        <v>0</v>
      </c>
      <c r="V23" s="9">
        <f>T23-U23</f>
        <v>0</v>
      </c>
      <c r="W23" s="9">
        <f>Q23*3+S23*1-IF(OR(O$39=O23,O$40=O23,O$41=O23,O$42=O23,O$43=O23,O$44=O23,O$45=O23,O$46=O23,O$47=O23,O$48=O23,O$49=O23,O$50=O23,O$51=O23,O$52=O23,O$53=O23,O$54=O23),1,0)</f>
        <v>3</v>
      </c>
      <c r="Y23" s="3" t="str">
        <f>IF(W23&gt;=W24,IF(W23&gt;=W25,IF(W23&gt;=W26,O23,O26),IF(W25&gt;=W24,IF(W25&gt;=W26,O25,O26),IF(W24&gt;=W26,O24,O26))),IF(W24&gt;=W25,IF(W24&gt;=W26,O24,O26),IF(W25&gt;=W26,O25,O26)))</f>
        <v>Чехия</v>
      </c>
      <c r="Z23" s="3">
        <f>VLOOKUP(Y23,$O$5:$W$26,9,FALSE)</f>
        <v>3</v>
      </c>
      <c r="AA23" s="3" t="str">
        <f>Y23</f>
        <v>Чехия</v>
      </c>
      <c r="AB23" s="3">
        <f>VLOOKUP(AA23,$O$5:$W$26,9,FALSE)</f>
        <v>3</v>
      </c>
      <c r="AC23" s="3" t="str">
        <f>AA23</f>
        <v>Чехия</v>
      </c>
      <c r="AD23" s="3">
        <f>VLOOKUP(AC23,$O$5:$W$26,9,FALSE)</f>
        <v>3</v>
      </c>
      <c r="AE23" s="3">
        <f t="shared" si="2"/>
        <v>0</v>
      </c>
      <c r="AG23" s="3" t="str">
        <f>IF(AE23&gt;=AE24,IF(AE23&gt;=AE25,IF(AE23&gt;=AE26,AC23,AC26),IF(AE25&gt;=AE24,IF(AE25&gt;=AE26,AC25,AC26),IF(AE24&gt;=AE26,AC24,AC26))),IF(AE24&gt;=AE25,IF(AE24&gt;=AE26,AC24,AC26),IF(AE25&gt;=AE26,AC25,AC26)))</f>
        <v>Чехия</v>
      </c>
      <c r="AH23" s="3">
        <f>VLOOKUP(AG23,$O$5:$W$26,9,FALSE)</f>
        <v>3</v>
      </c>
      <c r="AI23" s="3">
        <f>VLOOKUP(AG23,$O$5:$W$26,8,FALSE)</f>
        <v>0</v>
      </c>
      <c r="AJ23" s="3" t="str">
        <f>AG23</f>
        <v>Чехия</v>
      </c>
      <c r="AK23" s="3">
        <f>VLOOKUP(AJ23,$O$5:$W$26,9,FALSE)</f>
        <v>3</v>
      </c>
      <c r="AL23" s="3">
        <f>VLOOKUP(AJ23,$O$5:$W$26,8,FALSE)</f>
        <v>0</v>
      </c>
      <c r="AM23" s="3" t="str">
        <f>AJ23</f>
        <v>Чехия</v>
      </c>
      <c r="AN23" s="3">
        <f>VLOOKUP(AM23,$O$5:$W$26,9,FALSE)</f>
        <v>3</v>
      </c>
      <c r="AO23" s="3">
        <f>VLOOKUP(AM23,$O$5:$W$26,8,FALSE)</f>
        <v>0</v>
      </c>
      <c r="AP23" s="3">
        <v>1</v>
      </c>
      <c r="AQ23" s="3">
        <f>VLOOKUP(AM23,$O$5:$W$26,6,FALSE)</f>
        <v>0</v>
      </c>
      <c r="AS23" s="3" t="str">
        <f>IF(AQ23&gt;=AQ24,IF(AQ23&gt;=AQ25,IF(AQ23&gt;=AQ26,AM23,AM26),IF(AQ25&gt;=AQ24,IF(AQ25&gt;=AQ26,AM25,AM26),IF(AQ24&gt;=AQ26,AM24,AM26))),IF(AQ24&gt;=AQ25,IF(AQ24&gt;=AQ26,AM24,AM26),IF(AQ25&gt;=AQ26,AM25,AM26)))</f>
        <v>Чехия</v>
      </c>
      <c r="AT23" s="3">
        <f>VLOOKUP(AS23,$O$5:$W$26,9,FALSE)</f>
        <v>3</v>
      </c>
      <c r="AU23" s="3">
        <f>VLOOKUP(AS23,$O$5:$W$26,6,FALSE)</f>
        <v>0</v>
      </c>
      <c r="AV23" s="3" t="str">
        <f>AS23</f>
        <v>Чехия</v>
      </c>
      <c r="AW23" s="3">
        <f>VLOOKUP(AV23,$O$5:$W$26,9,FALSE)</f>
        <v>3</v>
      </c>
      <c r="AX23" s="3">
        <f>VLOOKUP(AV23,$O$5:$W$26,6,FALSE)</f>
        <v>0</v>
      </c>
      <c r="AY23" s="3" t="str">
        <f>AV23</f>
        <v>Чехия</v>
      </c>
      <c r="AZ23" s="3">
        <f>VLOOKUP(AY23,$O$5:$W$26,9,FALSE)</f>
        <v>3</v>
      </c>
      <c r="BA23" s="3">
        <f>VLOOKUP(AY23,$O$5:$W$26,6,FALSE)</f>
        <v>0</v>
      </c>
      <c r="BB23" s="3">
        <v>1</v>
      </c>
      <c r="BD23" s="3" t="str">
        <f>IF(AD23=AD24,IF(AD23=AD25,IF(AD23=AD26,AM23,IF(AE23&gt;=AE24,IF(AE23&gt;=AE25,AC23,AC25),IF(AE24&gt;=AE25,AC24,AC25))),IF(AE23&gt;=AE24,AC23,AC24)),AC23)</f>
        <v>Чехия</v>
      </c>
      <c r="BE23" s="3">
        <f>VLOOKUP(BD23,$O$5:$W$26,9,FALSE)</f>
        <v>3</v>
      </c>
      <c r="BF23" s="3">
        <f>VLOOKUP(BD23,$O$5:$W$26,8,FALSE)</f>
        <v>0</v>
      </c>
      <c r="BG23" s="3" t="str">
        <f>BD23</f>
        <v>Чехия</v>
      </c>
      <c r="BH23" s="3">
        <f>VLOOKUP(BG23,$O$5:$W$26,9,FALSE)</f>
        <v>3</v>
      </c>
      <c r="BI23" s="3">
        <f>VLOOKUP(BG23,$O$5:$W$26,8,FALSE)</f>
        <v>0</v>
      </c>
      <c r="BJ23" s="3" t="str">
        <f>BG23</f>
        <v>Чехия</v>
      </c>
      <c r="BK23" s="3">
        <f>VLOOKUP(BJ23,$O$5:$W$26,9,FALSE)</f>
        <v>3</v>
      </c>
      <c r="BL23" s="3">
        <f>VLOOKUP(BJ23,$O$5:$W$26,8,FALSE)</f>
        <v>0</v>
      </c>
      <c r="BM23" s="3">
        <f>VLOOKUP(BJ23,$O$5:$W$26,6,FALSE)</f>
        <v>0</v>
      </c>
      <c r="BO23" s="3" t="str">
        <f>IF(AND(BK23=BK24,BL23=BL24),IF(AND(BK23=BK25,BL23=BL25),IF(AND(BK23=BK26,BL23=BL26),AY23,IF(BM23&gt;=BM24,IF(BM23&gt;=BM25,BJ23,BJ25),IF(BM24&gt;=BM25,BJ24,BJ25))),IF(BM23&gt;=BM24,BJ23,BJ24)),BJ23)</f>
        <v>Чехия</v>
      </c>
      <c r="BP23" s="3">
        <f>VLOOKUP(BO23,$O$5:$W$26,9,FALSE)</f>
        <v>3</v>
      </c>
      <c r="BQ23" s="3">
        <f>VLOOKUP(BO23,$O$5:$W$26,8,FALSE)</f>
        <v>0</v>
      </c>
      <c r="BR23" s="3">
        <f>VLOOKUP(BO23,$O$5:$W$26,6,FALSE)</f>
        <v>0</v>
      </c>
      <c r="BS23" s="3" t="str">
        <f>BO23</f>
        <v>Чехия</v>
      </c>
      <c r="BT23" s="3">
        <f>VLOOKUP(BS23,$O$5:$W$26,9,FALSE)</f>
        <v>3</v>
      </c>
      <c r="BU23" s="3">
        <f>VLOOKUP(BS23,$O$5:$W$26,8,FALSE)</f>
        <v>0</v>
      </c>
      <c r="BV23" s="3">
        <f>VLOOKUP(BS23,$O$5:$W$26,6,FALSE)</f>
        <v>0</v>
      </c>
      <c r="BW23" s="3" t="str">
        <f>BS23</f>
        <v>Чехия</v>
      </c>
      <c r="BX23" s="3">
        <f>VLOOKUP(BW23,$O$5:$W$26,9,FALSE)</f>
        <v>3</v>
      </c>
      <c r="BY23" s="3">
        <f>VLOOKUP(BW23,$O$5:$W$26,8,FALSE)</f>
        <v>0</v>
      </c>
      <c r="BZ23" s="3">
        <f>VLOOKUP(BW23,$O$5:$W$26,6,FALSE)</f>
        <v>0</v>
      </c>
      <c r="CB23" s="3">
        <f>VLOOKUP($BW23,General!$AA$5:$AI$26,8,FALSE)</f>
        <v>0</v>
      </c>
      <c r="CC23" s="3">
        <f>VLOOKUP($BW23,General!$AA$5:$AI$26,6,FALSE)</f>
        <v>0</v>
      </c>
      <c r="CE23" s="26" t="str">
        <f>IF(BX27=4,BW23,IF(BX27=2,IF(BX23=BX24,IF(BY23=BY24,IF(BZ23=BZ24,IF(CB23=CB24,IF(CC23&gt;=CC24,BW23,BW24),IF(CB23&gt;CB24,BW23,BW24)),BW23),BW23),BW23),"XXX"))</f>
        <v>Чехия</v>
      </c>
      <c r="CF23" s="18" t="str">
        <f>IF(CB23=CB24,IF(CB23=CB25,IF(CC23=CC24,IF(CC23&gt;=CC25,BW23,BW25),IF(CC23&gt;CC24,IF(CC23&gt;=CC25,BW23,BW25),IF(CC24&gt;=CC25,BW24,BW25))),IF(CB23&gt;CB25,BW23,BW25)),IF(CB23&gt;CB24,IF(CB23&gt;=CB25,BW23,BW25),IF(CB24&gt;=CB25,BW24,BW25)))</f>
        <v>Чехия</v>
      </c>
      <c r="CG23" s="6">
        <f>VLOOKUP(CF23,General!$AA$5:$AI$26,8,FALSE)</f>
        <v>0</v>
      </c>
      <c r="CH23" s="6">
        <f>VLOOKUP(CF23,General!$AA$5:$AI$26,6,FALSE)</f>
        <v>0</v>
      </c>
      <c r="CI23" s="28" t="str">
        <f>CF23</f>
        <v>Чехия</v>
      </c>
      <c r="CJ23" s="26" t="str">
        <f>IF(CB23=CB24,IF(CC23&gt;=CC24,BW23,BW24),IF(CB23&gt;CB24,BW23,BW24))</f>
        <v>Чехия</v>
      </c>
      <c r="CK23" s="26" t="str">
        <f>BW23</f>
        <v>Чехия</v>
      </c>
      <c r="CL23" s="26" t="str">
        <f>BW23</f>
        <v>Чехия</v>
      </c>
      <c r="CM23" s="26" t="str">
        <f>CS23</f>
        <v>Чехия</v>
      </c>
      <c r="CN23" s="26" t="str">
        <f>CS23</f>
        <v>Чехия</v>
      </c>
      <c r="CP23" s="31" t="str">
        <f>HLOOKUP("YES",CE$22:CN$26,2,FALSE)</f>
        <v>Чехия</v>
      </c>
      <c r="CS23" s="3" t="str">
        <f t="shared" si="3"/>
        <v>Чехия</v>
      </c>
      <c r="CT23" s="3">
        <f>VLOOKUP($CS23,General!$AA$5:$AI$26,9,FALSE)</f>
        <v>0</v>
      </c>
      <c r="CU23" s="3">
        <f>VLOOKUP($CS23,General!$AA$5:$AI$26,8,FALSE)</f>
        <v>0</v>
      </c>
      <c r="CV23" s="3">
        <f>VLOOKUP($CS23,General!$AA$5:$AI$26,6,FALSE)</f>
        <v>0</v>
      </c>
      <c r="CX23" s="3" t="str">
        <f>IF(BX27=2,IF(AND(BY23=BY24,BZ23=BZ24),IF(CU23&gt;CU24,CS23,IF(CU23=CU24,IF(CV23&gt;=CV24,CS23,CS24),CS24)),BW23),IF(BX27=3,IF(AND(BY23=BY24,BZ23=BZ24,CB23=CB24),IF(CU23&gt;CU24,IF(CU23&gt;CU25,CS23,IF(CU23=CU25,IF(CV23&gt;=CV25,CS23,CS25),CS25)),IF(CU23=CU24,IF(CU23=CU25,IF(CV23&gt;=CV24,IF(CV23&gt;=CV25,CS23,CS25),IF(CV24&gt;=CV25,CS24,CS25)),IF(CV23&gt;=CV24,CS23,CS24)),IF(CU24&gt;CU25,CS24,IF(CU24=CU25,IF(CV24&gt;=CV25,CS24,CS25),CS25)))),BW23),BW23))</f>
        <v>Чехия</v>
      </c>
      <c r="CY23" s="3" t="str">
        <f>CX23</f>
        <v>Чехия</v>
      </c>
      <c r="DD23" s="3" t="str">
        <f>IF(OR(AD23=AD24,AD23=AD22),"X","")</f>
        <v>X</v>
      </c>
      <c r="DE23" s="3" t="str">
        <f>IF(DD23="x",IF(AD23=AD24,"y",""),"")</f>
        <v>y</v>
      </c>
      <c r="DF23" s="3" t="str">
        <f>IF(DD23="x",AC23,"")</f>
        <v>Чехия</v>
      </c>
    </row>
    <row r="24" spans="1:110" ht="11.25">
      <c r="A24" s="1" t="str">
        <f>General!B24</f>
        <v>22.06.04</v>
      </c>
      <c r="B24" s="2">
        <f>General!C24</f>
        <v>0.8229166666666666</v>
      </c>
      <c r="C24" s="1" t="str">
        <f>General!D24</f>
        <v>Bessa - Séc. XXI, Porto</v>
      </c>
      <c r="D24" s="3" t="str">
        <f>General!E24</f>
        <v>C</v>
      </c>
      <c r="E24" s="1" t="str">
        <f>General!F24</f>
        <v>C3</v>
      </c>
      <c r="F24" s="1" t="str">
        <f>General!G24</f>
        <v>C1</v>
      </c>
      <c r="G24" s="3" t="str">
        <f>General!H24</f>
        <v>Дания</v>
      </c>
      <c r="H24" s="3" t="str">
        <f>General!I24</f>
        <v>Швеция</v>
      </c>
      <c r="I24" s="3">
        <f>IF(OR(OR($O$39=$G24,$O$40=$G24,$O$41=$G24,$O$42=$G24,$O$43=$G24,$O$44=$G24,$O$45=$G24,$O$46=$G24,$O$47=$G24,O$48=$G24,$O$49=$G24,$O$50=$G24,$O$51=$G24,$O$52=$G24,$O$53=$G24,$O$54=$G24),OR($O$39=$H24,$O$40=$H24,$O$41=$H24,O$42=$H24,$O$43=$H24,$O$44=$H24,$O$45=$H24,$O$46=$H24,$O$47=$H24,$O$48=$H24,$O$49=$H24,$O$50=$H24,$O$51=$H24,$O$52=$H24,$O$53=$H24,$O$54=$H24)),"",General!J24)</f>
        <v>0</v>
      </c>
      <c r="J24" s="3">
        <f>IF(OR(OR($O$39=$G24,$O$40=$G24,$O$41=$G24,$O$42=$G24,$O$43=$G24,$O$44=$G24,$O$45=$G24,$O$46=$G24,$O$47=$G24,P$48=$G24,$O$49=$G24,$O$50=$G24,$O$51=$G24,$O$52=$G24,$O$53=$G24,$O$54=$G24),OR($O$39=$H24,$O$40=$H24,$O$41=$H24,O$42=$H24,$O$43=$H24,$O$44=$H24,$O$45=$H24,$O$46=$H24,$O$47=$H24,$O$48=$H24,$O$49=$H24,$O$50=$H24,$O$51=$H24,$O$52=$H24,$O$53=$H24,$O$54=$H24)),"",General!K24)</f>
        <v>0</v>
      </c>
      <c r="K24" s="3">
        <f t="shared" si="0"/>
      </c>
      <c r="L24" s="3">
        <f t="shared" si="1"/>
      </c>
      <c r="M24" s="3">
        <f>General!N24</f>
        <v>0</v>
      </c>
      <c r="N24" s="8" t="str">
        <f>General!Z24</f>
        <v>D2</v>
      </c>
      <c r="O24" s="8" t="str">
        <f>Teams!B15</f>
        <v>Латвия</v>
      </c>
      <c r="P24" s="3">
        <f>COUNT(MA_D2_Pld)</f>
        <v>3</v>
      </c>
      <c r="Q24" s="9">
        <f>COUNTIF($K$3:$K$26,O24)</f>
        <v>0</v>
      </c>
      <c r="R24" s="9">
        <f>COUNTIF($L$3:$L$26,O24)</f>
        <v>0</v>
      </c>
      <c r="S24" s="9">
        <f>P24-Q24-R24</f>
        <v>3</v>
      </c>
      <c r="T24" s="3">
        <f>SUM(MA_D2_Pld)</f>
        <v>0</v>
      </c>
      <c r="U24" s="9">
        <f>SUM(MA_D2_against)</f>
        <v>0</v>
      </c>
      <c r="V24" s="9">
        <f>T24-U24</f>
        <v>0</v>
      </c>
      <c r="W24" s="9">
        <f>Q24*3+S24*1-IF(OR(O$39=O24,O$40=O24,O$41=O24,O$42=O24,O$43=O24,O$44=O24,O$45=O24,O$46=O24,O$47=O24,O$48=O24,O$49=O24,O$50=O24,O$51=O24,O$52=O24,O$53=O24,O$54=O24),1,0)</f>
        <v>3</v>
      </c>
      <c r="Y24" s="3" t="str">
        <f>IF(O24=Y$23,O$23,O24)</f>
        <v>Латвия</v>
      </c>
      <c r="Z24" s="3">
        <f>VLOOKUP(Y24,$O$5:$W$26,9,FALSE)</f>
        <v>3</v>
      </c>
      <c r="AA24" s="3" t="str">
        <f>IF(Z24&gt;=Z25,IF(Z24&gt;=Z26,Y24,Y26),IF(Z25&gt;=Z26,Y25,Y26))</f>
        <v>Латвия</v>
      </c>
      <c r="AB24" s="3">
        <f aca="true" t="shared" si="6" ref="AB24:AD26">VLOOKUP(AA24,$O$5:$W$26,9,FALSE)</f>
        <v>3</v>
      </c>
      <c r="AC24" s="3" t="str">
        <f>IF(AB24&gt;=AB25,IF(AB24&gt;=AB26,AA24,AA26),IF(AB25&gt;=AB26,AA25,AA26))</f>
        <v>Латвия</v>
      </c>
      <c r="AD24" s="3">
        <f t="shared" si="6"/>
        <v>3</v>
      </c>
      <c r="AE24" s="3">
        <f t="shared" si="2"/>
        <v>0</v>
      </c>
      <c r="AG24" s="3" t="str">
        <f>IF(AC24=$AG$23,$AC$23,AC24)</f>
        <v>Латвия</v>
      </c>
      <c r="AH24" s="3">
        <f>VLOOKUP(AG24,$O$5:$W$26,9,FALSE)</f>
        <v>3</v>
      </c>
      <c r="AI24" s="3">
        <f>VLOOKUP(AG24,$O$5:$W$26,8,FALSE)</f>
        <v>0</v>
      </c>
      <c r="AJ24" s="3" t="str">
        <f>IF(AI24&gt;=AI25,IF(AI24&gt;=AI26,AG24,AG26),IF(AI25&gt;=AI26,AG25,AG26))</f>
        <v>Латвия</v>
      </c>
      <c r="AK24" s="3">
        <f>VLOOKUP(AJ24,$O$5:$W$26,9,FALSE)</f>
        <v>3</v>
      </c>
      <c r="AL24" s="3">
        <f>VLOOKUP(AJ24,$O$5:$W$26,8,FALSE)</f>
        <v>0</v>
      </c>
      <c r="AM24" s="3" t="str">
        <f>AJ24</f>
        <v>Латвия</v>
      </c>
      <c r="AN24" s="3">
        <f>VLOOKUP(AM24,$O$5:$W$26,9,FALSE)</f>
        <v>3</v>
      </c>
      <c r="AO24" s="3">
        <f>VLOOKUP(AM24,$O$5:$W$26,8,FALSE)</f>
        <v>0</v>
      </c>
      <c r="AP24" s="3">
        <v>2</v>
      </c>
      <c r="AQ24" s="3">
        <f>VLOOKUP(AM24,$O$5:$W$26,6,FALSE)</f>
        <v>0</v>
      </c>
      <c r="AS24" s="3" t="str">
        <f>IF(AM24=AS$23,AM$17,AM24)</f>
        <v>Латвия</v>
      </c>
      <c r="AT24" s="3">
        <f>VLOOKUP(AS24,$O$5:$W$26,9,FALSE)</f>
        <v>3</v>
      </c>
      <c r="AU24" s="3">
        <f>VLOOKUP(AS24,$O$5:$W$26,6,FALSE)</f>
        <v>0</v>
      </c>
      <c r="AV24" s="3" t="str">
        <f>IF(AU24&gt;=AU25,IF(AU24&gt;=AU26,AS24,AS26),IF(AU25&gt;=AU26,AS25,AS26))</f>
        <v>Латвия</v>
      </c>
      <c r="AW24" s="3">
        <f>VLOOKUP(AV24,$O$5:$W$26,9,FALSE)</f>
        <v>3</v>
      </c>
      <c r="AX24" s="3">
        <f>VLOOKUP(AV24,$O$5:$W$26,6,FALSE)</f>
        <v>0</v>
      </c>
      <c r="AY24" s="3" t="str">
        <f>AV24</f>
        <v>Латвия</v>
      </c>
      <c r="AZ24" s="3">
        <f>VLOOKUP(AY24,$O$5:$W$26,9,FALSE)</f>
        <v>3</v>
      </c>
      <c r="BA24" s="3">
        <f>VLOOKUP(AY24,$O$5:$W$26,6,FALSE)</f>
        <v>0</v>
      </c>
      <c r="BB24" s="3">
        <v>2</v>
      </c>
      <c r="BD24" s="3" t="str">
        <f>IF(AC24=BD$23,AC$23,AC24)</f>
        <v>Латвия</v>
      </c>
      <c r="BE24" s="3">
        <f>VLOOKUP(BD24,$O$5:$W$26,9,FALSE)</f>
        <v>3</v>
      </c>
      <c r="BF24" s="3">
        <f>VLOOKUP(BD24,$O$5:$W$26,8,FALSE)</f>
        <v>0</v>
      </c>
      <c r="BG24" s="3" t="str">
        <f>IF(BE24=BE25,IF(BE24=BE26,IF(BF24&gt;=BF25,IF(BF24&gt;=BF26,BD24,BD26),IF(BF25&gt;=BF26,BD25,BD26)),IF(BF24&gt;=BF25,BD24,BD25)),BD24)</f>
        <v>Латвия</v>
      </c>
      <c r="BH24" s="3">
        <f>VLOOKUP(BG24,$O$5:$W$26,9,FALSE)</f>
        <v>3</v>
      </c>
      <c r="BI24" s="3">
        <f>VLOOKUP(BG24,$O$5:$W$26,8,FALSE)</f>
        <v>0</v>
      </c>
      <c r="BJ24" s="3" t="str">
        <f>BG24</f>
        <v>Латвия</v>
      </c>
      <c r="BK24" s="3">
        <f>VLOOKUP(BJ24,$O$5:$W$26,9,FALSE)</f>
        <v>3</v>
      </c>
      <c r="BL24" s="3">
        <f>VLOOKUP(BJ24,$O$5:$W$26,8,FALSE)</f>
        <v>0</v>
      </c>
      <c r="BM24" s="3">
        <f>VLOOKUP(BJ24,$O$5:$W$26,6,FALSE)</f>
        <v>0</v>
      </c>
      <c r="BO24" s="3" t="str">
        <f>IF(BJ24=BO$23,BJ$23,BJ24)</f>
        <v>Латвия</v>
      </c>
      <c r="BP24" s="3">
        <f>VLOOKUP(BO24,$O$5:$W$26,9,FALSE)</f>
        <v>3</v>
      </c>
      <c r="BQ24" s="3">
        <f>VLOOKUP(BO24,$O$5:$W$26,8,FALSE)</f>
        <v>0</v>
      </c>
      <c r="BR24" s="3">
        <f>VLOOKUP(BO24,$O$5:$W$26,6,FALSE)</f>
        <v>0</v>
      </c>
      <c r="BS24" s="3" t="str">
        <f>IF(AND(BP24=BP25,BQ24=BQ25),IF(AND(BP24=BP26,BQ24=BQ26),IF(BR24&gt;=BR25,IF(BR24&gt;=BR26,BO24,BO26),IF(BR25&gt;=BR26,BO25,BO26)),IF(BR24&gt;=BR25,BO24,BO25)),BO24)</f>
        <v>Латвия</v>
      </c>
      <c r="BT24" s="3">
        <f>VLOOKUP(BS24,$O$5:$W$26,9,FALSE)</f>
        <v>3</v>
      </c>
      <c r="BU24" s="3">
        <f>VLOOKUP(BS24,$O$5:$W$26,8,FALSE)</f>
        <v>0</v>
      </c>
      <c r="BV24" s="3">
        <f>VLOOKUP(BS24,$O$5:$W$26,6,FALSE)</f>
        <v>0</v>
      </c>
      <c r="BW24" s="3" t="str">
        <f>BS24</f>
        <v>Латвия</v>
      </c>
      <c r="BX24" s="3">
        <f>VLOOKUP(BW24,$O$5:$W$26,9,FALSE)</f>
        <v>3</v>
      </c>
      <c r="BY24" s="3">
        <f>VLOOKUP(BW24,$O$5:$W$26,8,FALSE)</f>
        <v>0</v>
      </c>
      <c r="BZ24" s="3">
        <f>VLOOKUP(BW24,$O$5:$W$26,6,FALSE)</f>
        <v>0</v>
      </c>
      <c r="CB24" s="3">
        <f>VLOOKUP($BW24,General!$AA$5:$AI$26,8,FALSE)</f>
        <v>0</v>
      </c>
      <c r="CC24" s="3">
        <f>VLOOKUP($BW24,General!$AA$5:$AI$26,6,FALSE)</f>
        <v>0</v>
      </c>
      <c r="CE24" s="26" t="str">
        <f>IF(BW24=CE$23,BW$23,BW24)</f>
        <v>Латвия</v>
      </c>
      <c r="CF24" s="18" t="str">
        <f>IF(BW24=CF$23,BW$23,BW24)</f>
        <v>Латвия</v>
      </c>
      <c r="CG24" s="6">
        <f>VLOOKUP(CF24,General!$AA$5:$AI$26,8,FALSE)</f>
        <v>0</v>
      </c>
      <c r="CH24" s="6">
        <f>VLOOKUP(CF24,General!$AA$5:$AI$26,6,FALSE)</f>
        <v>0</v>
      </c>
      <c r="CI24" s="28" t="str">
        <f>IF(CG24=CG25,IF(CH24&gt;=CH25,CF24,CF25),IF(CG24&gt;CG25,CF24,CF25))</f>
        <v>Латвия</v>
      </c>
      <c r="CJ24" s="26" t="str">
        <f>IF(BW24=CJ$23,BW$23,BW24)</f>
        <v>Латвия</v>
      </c>
      <c r="CK24" s="26" t="str">
        <f>IF(CB24=CB25,IF(CC24&gt;=CC25,BW24,BW25),IF(CB24&gt;CB25,BW24,BW25))</f>
        <v>Латвия</v>
      </c>
      <c r="CL24" s="26" t="str">
        <f>BW24</f>
        <v>Латвия</v>
      </c>
      <c r="CM24" s="26" t="str">
        <f>CS24</f>
        <v>Латвия</v>
      </c>
      <c r="CN24" s="26" t="str">
        <f>CS24</f>
        <v>Латвия</v>
      </c>
      <c r="CP24" s="31" t="str">
        <f>HLOOKUP("YES",CE$22:CN$26,3,FALSE)</f>
        <v>Латвия</v>
      </c>
      <c r="CS24" s="3" t="str">
        <f t="shared" si="3"/>
        <v>Латвия</v>
      </c>
      <c r="CT24" s="3">
        <f>VLOOKUP($CS24,General!$AA$5:$AI$26,9,FALSE)</f>
        <v>0</v>
      </c>
      <c r="CU24" s="3">
        <f>VLOOKUP($CS24,General!$AA$5:$AI$26,8,FALSE)</f>
        <v>0</v>
      </c>
      <c r="CV24" s="3">
        <f>VLOOKUP($CS24,General!$AA$5:$AI$26,6,FALSE)</f>
        <v>0</v>
      </c>
      <c r="CX24" s="3" t="str">
        <f>IF(BW24=CX$23,BW$17,BW24)</f>
        <v>Латвия</v>
      </c>
      <c r="CY24" s="3" t="str">
        <f>IF(BX27=2,CX24,IF(BX27=3,IF(CU24&gt;CU25,CX24,IF(CU24=CU25,IF(CV24&gt;=CV25,CX24,CX25),CX25)),BW24))</f>
        <v>Латвия</v>
      </c>
      <c r="DD24" s="3" t="str">
        <f>IF(OR(AD24=AD25,AD24=AD23),"X","")</f>
        <v>X</v>
      </c>
      <c r="DE24" s="3" t="str">
        <f>IF(DD24="x",IF(AD24=AD25,"y",""),"")</f>
        <v>y</v>
      </c>
      <c r="DF24" s="3" t="str">
        <f>IF(DD24="x",AC24,"")</f>
        <v>Латвия</v>
      </c>
    </row>
    <row r="25" spans="1:110" ht="11.25">
      <c r="A25" s="1" t="str">
        <f>General!B25</f>
        <v>23.06.04</v>
      </c>
      <c r="B25" s="2">
        <f>General!C25</f>
        <v>0.8229166666666666</v>
      </c>
      <c r="C25" s="1" t="str">
        <f>General!D25</f>
        <v>Municipal, Braga</v>
      </c>
      <c r="D25" s="3" t="str">
        <f>General!E25</f>
        <v>D</v>
      </c>
      <c r="E25" s="1" t="str">
        <f>General!F25</f>
        <v>D4</v>
      </c>
      <c r="F25" s="1" t="str">
        <f>General!G25</f>
        <v>D2</v>
      </c>
      <c r="G25" s="3" t="str">
        <f>General!H25</f>
        <v>Нидерланды</v>
      </c>
      <c r="H25" s="3" t="str">
        <f>General!I25</f>
        <v>Латвия</v>
      </c>
      <c r="I25" s="3">
        <f>IF(OR(OR($O$39=$G25,$O$40=$G25,$O$41=$G25,$O$42=$G25,$O$43=$G25,$O$44=$G25,$O$45=$G25,$O$46=$G25,$O$47=$G25,O$48=$G25,$O$49=$G25,$O$50=$G25,$O$51=$G25,$O$52=$G25,$O$53=$G25,$O$54=$G25),OR($O$39=$H25,$O$40=$H25,$O$41=$H25,O$42=$H25,$O$43=$H25,$O$44=$H25,$O$45=$H25,$O$46=$H25,$O$47=$H25,$O$48=$H25,$O$49=$H25,$O$50=$H25,$O$51=$H25,$O$52=$H25,$O$53=$H25,$O$54=$H25)),"",General!J25)</f>
        <v>0</v>
      </c>
      <c r="J25" s="3">
        <f>IF(OR(OR($O$39=$G25,$O$40=$G25,$O$41=$G25,$O$42=$G25,$O$43=$G25,$O$44=$G25,$O$45=$G25,$O$46=$G25,$O$47=$G25,P$48=$G25,$O$49=$G25,$O$50=$G25,$O$51=$G25,$O$52=$G25,$O$53=$G25,$O$54=$G25),OR($O$39=$H25,$O$40=$H25,$O$41=$H25,O$42=$H25,$O$43=$H25,$O$44=$H25,$O$45=$H25,$O$46=$H25,$O$47=$H25,$O$48=$H25,$O$49=$H25,$O$50=$H25,$O$51=$H25,$O$52=$H25,$O$53=$H25,$O$54=$H25)),"",General!K25)</f>
        <v>0</v>
      </c>
      <c r="K25" s="3">
        <f t="shared" si="0"/>
      </c>
      <c r="L25" s="3">
        <f t="shared" si="1"/>
      </c>
      <c r="M25" s="3">
        <f>General!N25</f>
        <v>0</v>
      </c>
      <c r="N25" s="8" t="str">
        <f>General!Z25</f>
        <v>D3</v>
      </c>
      <c r="O25" s="8" t="str">
        <f>Teams!B16</f>
        <v>Германия</v>
      </c>
      <c r="P25" s="3">
        <f>COUNT(MA_D3_Pld)</f>
        <v>3</v>
      </c>
      <c r="Q25" s="9">
        <f>COUNTIF($K$3:$K$26,O25)</f>
        <v>0</v>
      </c>
      <c r="R25" s="9">
        <f>COUNTIF($L$3:$L$26,O25)</f>
        <v>0</v>
      </c>
      <c r="S25" s="9">
        <f>P25-Q25-R25</f>
        <v>3</v>
      </c>
      <c r="T25" s="3">
        <f>SUM(MA_D3_Pld)</f>
        <v>0</v>
      </c>
      <c r="U25" s="9">
        <f>SUM(MA_D3_against)</f>
        <v>0</v>
      </c>
      <c r="V25" s="9">
        <f>T25-U25</f>
        <v>0</v>
      </c>
      <c r="W25" s="9">
        <f>Q25*3+S25*1-IF(OR(O$39=O25,O$40=O25,O$41=O25,O$42=O25,O$43=O25,O$44=O25,O$45=O25,O$46=O25,O$47=O25,O$48=O25,O$49=O25,O$50=O25,O$51=O25,O$52=O25,O$53=O25,O$54=O25),1,0)</f>
        <v>3</v>
      </c>
      <c r="Y25" s="3" t="str">
        <f>IF(O25=Y$23,O$23,O25)</f>
        <v>Германия</v>
      </c>
      <c r="Z25" s="3">
        <f>VLOOKUP(Y25,$O$5:$W$26,9,FALSE)</f>
        <v>3</v>
      </c>
      <c r="AA25" s="3" t="str">
        <f>IF(Y25=AA$24,Y$24,Y25)</f>
        <v>Германия</v>
      </c>
      <c r="AB25" s="3">
        <f t="shared" si="6"/>
        <v>3</v>
      </c>
      <c r="AC25" s="3" t="str">
        <f>IF(AB25&gt;=AB26,AA25,AA26)</f>
        <v>Германия</v>
      </c>
      <c r="AD25" s="3">
        <f t="shared" si="6"/>
        <v>3</v>
      </c>
      <c r="AE25" s="3">
        <f t="shared" si="2"/>
        <v>0</v>
      </c>
      <c r="AG25" s="3" t="str">
        <f>IF(AC25=$AG$23,$AC$23,AC25)</f>
        <v>Германия</v>
      </c>
      <c r="AH25" s="3">
        <f>VLOOKUP(AG25,$O$5:$W$26,9,FALSE)</f>
        <v>3</v>
      </c>
      <c r="AI25" s="3">
        <f>VLOOKUP(AG25,$O$5:$W$26,8,FALSE)</f>
        <v>0</v>
      </c>
      <c r="AJ25" s="3" t="str">
        <f>IF(AG25=AJ$24,AG$24,AG25)</f>
        <v>Германия</v>
      </c>
      <c r="AK25" s="3">
        <f>VLOOKUP(AJ25,$O$5:$W$26,9,FALSE)</f>
        <v>3</v>
      </c>
      <c r="AL25" s="3">
        <f>VLOOKUP(AJ25,$O$5:$W$26,8,FALSE)</f>
        <v>0</v>
      </c>
      <c r="AM25" s="3" t="str">
        <f>IF(AL25&gt;=AL26,AJ25,AJ26)</f>
        <v>Германия</v>
      </c>
      <c r="AN25" s="3">
        <f>VLOOKUP(AM25,$O$5:$W$26,9,FALSE)</f>
        <v>3</v>
      </c>
      <c r="AO25" s="3">
        <f>VLOOKUP(AM25,$O$5:$W$26,8,FALSE)</f>
        <v>0</v>
      </c>
      <c r="AP25" s="3">
        <v>3</v>
      </c>
      <c r="AQ25" s="3">
        <f>VLOOKUP(AM25,$O$5:$W$26,6,FALSE)</f>
        <v>0</v>
      </c>
      <c r="AS25" s="3" t="str">
        <f>IF(AM25=AS$23,AM$17,AM25)</f>
        <v>Германия</v>
      </c>
      <c r="AT25" s="3">
        <f>VLOOKUP(AS25,$O$5:$W$26,9,FALSE)</f>
        <v>3</v>
      </c>
      <c r="AU25" s="3">
        <f>VLOOKUP(AS25,$O$5:$W$26,6,FALSE)</f>
        <v>0</v>
      </c>
      <c r="AV25" s="3" t="str">
        <f>IF(AS25=AV$24,AS$24,AS25)</f>
        <v>Германия</v>
      </c>
      <c r="AW25" s="3">
        <f>VLOOKUP(AV25,$O$5:$W$26,9,FALSE)</f>
        <v>3</v>
      </c>
      <c r="AX25" s="3">
        <f>VLOOKUP(AV25,$O$5:$W$26,6,FALSE)</f>
        <v>0</v>
      </c>
      <c r="AY25" s="3" t="str">
        <f>IF(AX25&gt;=AX26,AV25,AV26)</f>
        <v>Германия</v>
      </c>
      <c r="AZ25" s="3">
        <f>VLOOKUP(AY25,$O$5:$W$26,9,FALSE)</f>
        <v>3</v>
      </c>
      <c r="BA25" s="3">
        <f>VLOOKUP(AY25,$O$5:$W$26,6,FALSE)</f>
        <v>0</v>
      </c>
      <c r="BB25" s="3">
        <v>3</v>
      </c>
      <c r="BD25" s="3" t="str">
        <f>IF(AC25=BD$23,AC$23,AC25)</f>
        <v>Германия</v>
      </c>
      <c r="BE25" s="3">
        <f>VLOOKUP(BD25,$O$5:$W$26,9,FALSE)</f>
        <v>3</v>
      </c>
      <c r="BF25" s="3">
        <f>VLOOKUP(BD25,$O$5:$W$26,8,FALSE)</f>
        <v>0</v>
      </c>
      <c r="BG25" s="3" t="str">
        <f>IF(BD25=BG$24,BD$24,BD25)</f>
        <v>Германия</v>
      </c>
      <c r="BH25" s="3">
        <f>VLOOKUP(BG25,$O$5:$W$26,9,FALSE)</f>
        <v>3</v>
      </c>
      <c r="BI25" s="3">
        <f>VLOOKUP(BG25,$O$5:$W$26,8,FALSE)</f>
        <v>0</v>
      </c>
      <c r="BJ25" s="3" t="str">
        <f>IF(BH25=BH26,IF(BI25&gt;=BI26,BG25,BG26),BG25)</f>
        <v>Германия</v>
      </c>
      <c r="BK25" s="3">
        <f>VLOOKUP(BJ25,$O$5:$W$26,9,FALSE)</f>
        <v>3</v>
      </c>
      <c r="BL25" s="3">
        <f>VLOOKUP(BJ25,$O$5:$W$26,8,FALSE)</f>
        <v>0</v>
      </c>
      <c r="BM25" s="3">
        <f>VLOOKUP(BJ25,$O$5:$W$26,6,FALSE)</f>
        <v>0</v>
      </c>
      <c r="BO25" s="3" t="str">
        <f>IF(BJ25=BO$23,BJ$23,BJ25)</f>
        <v>Германия</v>
      </c>
      <c r="BP25" s="3">
        <f>VLOOKUP(BO25,$O$5:$W$26,9,FALSE)</f>
        <v>3</v>
      </c>
      <c r="BQ25" s="3">
        <f>VLOOKUP(BO25,$O$5:$W$26,8,FALSE)</f>
        <v>0</v>
      </c>
      <c r="BR25" s="3">
        <f>VLOOKUP(BO25,$O$5:$W$26,6,FALSE)</f>
        <v>0</v>
      </c>
      <c r="BS25" s="3" t="str">
        <f>IF(BO25=BS$24,BO$24,BO25)</f>
        <v>Германия</v>
      </c>
      <c r="BT25" s="3">
        <f>VLOOKUP(BS25,$O$5:$W$26,9,FALSE)</f>
        <v>3</v>
      </c>
      <c r="BU25" s="3">
        <f>VLOOKUP(BS25,$O$5:$W$26,8,FALSE)</f>
        <v>0</v>
      </c>
      <c r="BV25" s="3">
        <f>VLOOKUP(BS25,$O$5:$W$26,6,FALSE)</f>
        <v>0</v>
      </c>
      <c r="BW25" s="3" t="str">
        <f>IF(AND(BT25=BT26,BU25=BU26),IF(BV25&gt;=BV26,BS25,BS26),BS25)</f>
        <v>Германия</v>
      </c>
      <c r="BX25" s="3">
        <f>VLOOKUP(BW25,$O$5:$W$26,9,FALSE)</f>
        <v>3</v>
      </c>
      <c r="BY25" s="3">
        <f>VLOOKUP(BW25,$O$5:$W$26,8,FALSE)</f>
        <v>0</v>
      </c>
      <c r="BZ25" s="3">
        <f>VLOOKUP(BW25,$O$5:$W$26,6,FALSE)</f>
        <v>0</v>
      </c>
      <c r="CB25" s="3">
        <f>VLOOKUP($BW25,General!$AA$5:$AI$26,8,FALSE)</f>
        <v>0</v>
      </c>
      <c r="CC25" s="3">
        <f>VLOOKUP($BW25,General!$AA$5:$AI$26,6,FALSE)</f>
        <v>0</v>
      </c>
      <c r="CE25" s="26" t="str">
        <f>IF(BW25=CE$23,BW$23,BW25)</f>
        <v>Германия</v>
      </c>
      <c r="CF25" s="18" t="str">
        <f>IF(BW25=CF$23,BW$23,BW25)</f>
        <v>Германия</v>
      </c>
      <c r="CG25" s="6">
        <f>VLOOKUP(CF25,General!$AA$5:$AI$26,8,FALSE)</f>
        <v>0</v>
      </c>
      <c r="CH25" s="6">
        <f>VLOOKUP(CF25,General!$AA$5:$AI$26,6,FALSE)</f>
        <v>0</v>
      </c>
      <c r="CI25" s="28" t="str">
        <f>IF(CF25=CI$24,CF$24,CF25)</f>
        <v>Германия</v>
      </c>
      <c r="CJ25" s="26" t="str">
        <f>IF(BW25=CJ$23,BW$23,BW25)</f>
        <v>Германия</v>
      </c>
      <c r="CK25" s="26" t="str">
        <f>IF(BW25=CK$24,BW$24,BW25)</f>
        <v>Германия</v>
      </c>
      <c r="CL25" s="26" t="str">
        <f>BW25</f>
        <v>Германия</v>
      </c>
      <c r="CM25" s="26" t="str">
        <f>CS25</f>
        <v>Германия</v>
      </c>
      <c r="CN25" s="26" t="str">
        <f>CS25</f>
        <v>Германия</v>
      </c>
      <c r="CP25" s="31" t="str">
        <f>HLOOKUP("YES",CE$22:CN$26,4,FALSE)</f>
        <v>Германия</v>
      </c>
      <c r="CS25" s="3" t="str">
        <f t="shared" si="3"/>
        <v>Германия</v>
      </c>
      <c r="CT25" s="3">
        <f>VLOOKUP($CS25,General!$AA$5:$AI$26,9,FALSE)</f>
        <v>0</v>
      </c>
      <c r="CU25" s="3">
        <f>VLOOKUP($CS25,General!$AA$5:$AI$26,8,FALSE)</f>
        <v>0</v>
      </c>
      <c r="CV25" s="3">
        <f>VLOOKUP($CS25,General!$AA$5:$AI$26,6,FALSE)</f>
        <v>0</v>
      </c>
      <c r="CX25" s="3" t="str">
        <f>IF(BW25=CX$23,BW$17,BW25)</f>
        <v>Германия</v>
      </c>
      <c r="CY25" s="3" t="str">
        <f>IF(CX25=CY$24,CX$24,CX25)</f>
        <v>Германия</v>
      </c>
      <c r="DD25" s="3" t="str">
        <f>IF(OR(AD25=AD26,AD25=AD24),"X","")</f>
        <v>X</v>
      </c>
      <c r="DE25" s="3" t="str">
        <f>IF(DD25="x",IF(AD25=AD26,"y",""),"")</f>
        <v>y</v>
      </c>
      <c r="DF25" s="3" t="str">
        <f>IF(DD25="x",AC25,"")</f>
        <v>Германия</v>
      </c>
    </row>
    <row r="26" spans="1:110" ht="11.25">
      <c r="A26" s="1" t="str">
        <f>General!B26</f>
        <v>23.06.04</v>
      </c>
      <c r="B26" s="2">
        <f>General!C26</f>
        <v>0.8229166666666666</v>
      </c>
      <c r="C26" s="1" t="str">
        <f>General!D26</f>
        <v>José Alvalade, Lisboa</v>
      </c>
      <c r="D26" s="3" t="str">
        <f>General!E26</f>
        <v>D</v>
      </c>
      <c r="E26" s="1" t="str">
        <f>General!F26</f>
        <v>D3</v>
      </c>
      <c r="F26" s="1" t="str">
        <f>General!G26</f>
        <v>D1</v>
      </c>
      <c r="G26" s="3" t="str">
        <f>General!H26</f>
        <v>Германия</v>
      </c>
      <c r="H26" s="3" t="str">
        <f>General!I26</f>
        <v>Чехия</v>
      </c>
      <c r="I26" s="3">
        <f>IF(OR(OR($O$39=$G26,$O$40=$G26,$O$41=$G26,$O$42=$G26,$O$43=$G26,$O$44=$G26,$O$45=$G26,$O$46=$G26,$O$47=$G26,O$48=$G26,$O$49=$G26,$O$50=$G26,$O$51=$G26,$O$52=$G26,$O$53=$G26,$O$54=$G26),OR($O$39=$H26,$O$40=$H26,$O$41=$H26,O$42=$H26,$O$43=$H26,$O$44=$H26,$O$45=$H26,$O$46=$H26,$O$47=$H26,$O$48=$H26,$O$49=$H26,$O$50=$H26,$O$51=$H26,$O$52=$H26,$O$53=$H26,$O$54=$H26)),"",General!J26)</f>
        <v>0</v>
      </c>
      <c r="J26" s="3">
        <f>IF(OR(OR($O$39=$G26,$O$40=$G26,$O$41=$G26,$O$42=$G26,$O$43=$G26,$O$44=$G26,$O$45=$G26,$O$46=$G26,$O$47=$G26,P$48=$G26,$O$49=$G26,$O$50=$G26,$O$51=$G26,$O$52=$G26,$O$53=$G26,$O$54=$G26),OR($O$39=$H26,$O$40=$H26,$O$41=$H26,O$42=$H26,$O$43=$H26,$O$44=$H26,$O$45=$H26,$O$46=$H26,$O$47=$H26,$O$48=$H26,$O$49=$H26,$O$50=$H26,$O$51=$H26,$O$52=$H26,$O$53=$H26,$O$54=$H26)),"",General!K26)</f>
        <v>0</v>
      </c>
      <c r="K26" s="3">
        <f t="shared" si="0"/>
      </c>
      <c r="L26" s="3">
        <f t="shared" si="1"/>
      </c>
      <c r="M26" s="3">
        <f>General!N26</f>
        <v>0</v>
      </c>
      <c r="N26" s="8" t="str">
        <f>General!Z26</f>
        <v>D4</v>
      </c>
      <c r="O26" s="8" t="str">
        <f>Teams!B17</f>
        <v>Нидерланды</v>
      </c>
      <c r="P26" s="3">
        <f>COUNT(MA_D4_Pld)</f>
        <v>3</v>
      </c>
      <c r="Q26" s="9">
        <f>COUNTIF($K$3:$K$26,O26)</f>
        <v>0</v>
      </c>
      <c r="R26" s="9">
        <f>COUNTIF($L$3:$L$26,O26)</f>
        <v>0</v>
      </c>
      <c r="S26" s="9">
        <f>P26-Q26-R26</f>
        <v>3</v>
      </c>
      <c r="T26" s="3">
        <f>SUM(MA_D4_Pld)</f>
        <v>0</v>
      </c>
      <c r="U26" s="9">
        <f>SUM(MA_D4_against)</f>
        <v>0</v>
      </c>
      <c r="V26" s="9">
        <f>T26-U26</f>
        <v>0</v>
      </c>
      <c r="W26" s="9">
        <f>Q26*3+S26*1-IF(OR(O$39=O26,O$40=O26,O$41=O26,O$42=O26,O$43=O26,O$44=O26,O$45=O26,O$46=O26,O$47=O26,O$48=O26,O$49=O26,O$50=O26,O$51=O26,O$52=O26,O$53=O26,O$54=O26),1,0)</f>
        <v>3</v>
      </c>
      <c r="Y26" s="3" t="str">
        <f>IF(O26=Y$23,O$23,O26)</f>
        <v>Нидерланды</v>
      </c>
      <c r="Z26" s="3">
        <f>VLOOKUP(Y26,$O$5:$W$26,9,FALSE)</f>
        <v>3</v>
      </c>
      <c r="AA26" s="3" t="str">
        <f>IF(Y26=AA$24,Y$24,Y26)</f>
        <v>Нидерланды</v>
      </c>
      <c r="AB26" s="3">
        <f t="shared" si="6"/>
        <v>3</v>
      </c>
      <c r="AC26" s="3" t="str">
        <f>IF(AA26=AC25,AA25,AA26)</f>
        <v>Нидерланды</v>
      </c>
      <c r="AD26" s="3">
        <f t="shared" si="6"/>
        <v>3</v>
      </c>
      <c r="AE26" s="3">
        <f t="shared" si="2"/>
        <v>0</v>
      </c>
      <c r="AG26" s="3" t="str">
        <f>IF(AC26=$AG$23,$AC$23,AC26)</f>
        <v>Нидерланды</v>
      </c>
      <c r="AH26" s="3">
        <f>VLOOKUP(AG26,$O$5:$W$26,9,FALSE)</f>
        <v>3</v>
      </c>
      <c r="AI26" s="3">
        <f>VLOOKUP(AG26,$O$5:$W$26,8,FALSE)</f>
        <v>0</v>
      </c>
      <c r="AJ26" s="3" t="str">
        <f>IF(AG26=AJ$24,AG$24,AG26)</f>
        <v>Нидерланды</v>
      </c>
      <c r="AK26" s="3">
        <f>VLOOKUP(AJ26,$O$5:$W$26,9,FALSE)</f>
        <v>3</v>
      </c>
      <c r="AL26" s="3">
        <f>VLOOKUP(AJ26,$O$5:$W$26,8,FALSE)</f>
        <v>0</v>
      </c>
      <c r="AM26" s="3" t="str">
        <f>IF(AJ26=AM25,AJ25,AJ26)</f>
        <v>Нидерланды</v>
      </c>
      <c r="AN26" s="3">
        <f>VLOOKUP(AM26,$O$5:$W$26,9,FALSE)</f>
        <v>3</v>
      </c>
      <c r="AO26" s="3">
        <f>VLOOKUP(AM26,$O$5:$W$26,8,FALSE)</f>
        <v>0</v>
      </c>
      <c r="AP26" s="3">
        <v>4</v>
      </c>
      <c r="AQ26" s="3">
        <f>VLOOKUP(AM26,$O$5:$W$26,6,FALSE)</f>
        <v>0</v>
      </c>
      <c r="AS26" s="3" t="str">
        <f>IF(AM26=AS$23,AM$17,AM26)</f>
        <v>Нидерланды</v>
      </c>
      <c r="AT26" s="3">
        <f>VLOOKUP(AS26,$O$5:$W$26,9,FALSE)</f>
        <v>3</v>
      </c>
      <c r="AU26" s="3">
        <f>VLOOKUP(AS26,$O$5:$W$26,6,FALSE)</f>
        <v>0</v>
      </c>
      <c r="AV26" s="3" t="str">
        <f>IF(AS26=AV$24,AS$24,AS26)</f>
        <v>Нидерланды</v>
      </c>
      <c r="AW26" s="3">
        <f>VLOOKUP(AV26,$O$5:$W$26,9,FALSE)</f>
        <v>3</v>
      </c>
      <c r="AX26" s="3">
        <f>VLOOKUP(AV26,$O$5:$W$26,6,FALSE)</f>
        <v>0</v>
      </c>
      <c r="AY26" s="3" t="str">
        <f>IF(AV26=AY25,AV25,AV26)</f>
        <v>Нидерланды</v>
      </c>
      <c r="AZ26" s="3">
        <f>VLOOKUP(AY26,$O$5:$W$26,9,FALSE)</f>
        <v>3</v>
      </c>
      <c r="BA26" s="3">
        <f>VLOOKUP(AY26,$O$5:$W$26,6,FALSE)</f>
        <v>0</v>
      </c>
      <c r="BB26" s="3">
        <v>4</v>
      </c>
      <c r="BD26" s="3" t="str">
        <f>IF(AC26=BD$23,AC$23,AC26)</f>
        <v>Нидерланды</v>
      </c>
      <c r="BE26" s="3">
        <f>VLOOKUP(BD26,$O$5:$W$26,9,FALSE)</f>
        <v>3</v>
      </c>
      <c r="BF26" s="3">
        <f>VLOOKUP(BD26,$O$5:$W$26,8,FALSE)</f>
        <v>0</v>
      </c>
      <c r="BG26" s="3" t="str">
        <f>IF(BD26=BG$24,BD$24,BD26)</f>
        <v>Нидерланды</v>
      </c>
      <c r="BH26" s="3">
        <f>VLOOKUP(BG26,$O$5:$W$26,9,FALSE)</f>
        <v>3</v>
      </c>
      <c r="BI26" s="3">
        <f>VLOOKUP(BG26,$O$5:$W$26,8,FALSE)</f>
        <v>0</v>
      </c>
      <c r="BJ26" s="3" t="str">
        <f>IF(BG26=BJ25,BG25,BG26)</f>
        <v>Нидерланды</v>
      </c>
      <c r="BK26" s="3">
        <f>VLOOKUP(BJ26,$O$5:$W$26,9,FALSE)</f>
        <v>3</v>
      </c>
      <c r="BL26" s="3">
        <f>VLOOKUP(BJ26,$O$5:$W$26,8,FALSE)</f>
        <v>0</v>
      </c>
      <c r="BM26" s="3">
        <f>VLOOKUP(BJ26,$O$5:$W$26,6,FALSE)</f>
        <v>0</v>
      </c>
      <c r="BO26" s="3" t="str">
        <f>IF(BJ26=BO$23,BJ$23,BJ26)</f>
        <v>Нидерланды</v>
      </c>
      <c r="BP26" s="3">
        <f>VLOOKUP(BO26,$O$5:$W$26,9,FALSE)</f>
        <v>3</v>
      </c>
      <c r="BQ26" s="3">
        <f>VLOOKUP(BO26,$O$5:$W$26,8,FALSE)</f>
        <v>0</v>
      </c>
      <c r="BR26" s="3">
        <f>VLOOKUP(BO26,$O$5:$W$26,6,FALSE)</f>
        <v>0</v>
      </c>
      <c r="BS26" s="3" t="str">
        <f>IF(BO26=BS$24,BO$24,BO26)</f>
        <v>Нидерланды</v>
      </c>
      <c r="BT26" s="3">
        <f>VLOOKUP(BS26,$O$5:$W$26,9,FALSE)</f>
        <v>3</v>
      </c>
      <c r="BU26" s="3">
        <f>VLOOKUP(BS26,$O$5:$W$26,8,FALSE)</f>
        <v>0</v>
      </c>
      <c r="BV26" s="3">
        <f>VLOOKUP(BS26,$O$5:$W$26,6,FALSE)</f>
        <v>0</v>
      </c>
      <c r="BW26" s="3" t="str">
        <f>IF(BS26=BW25,BS25,BS26)</f>
        <v>Нидерланды</v>
      </c>
      <c r="BX26" s="3">
        <f>VLOOKUP(BW26,$O$5:$W$26,9,FALSE)</f>
        <v>3</v>
      </c>
      <c r="BY26" s="3">
        <f>VLOOKUP(BW26,$O$5:$W$26,8,FALSE)</f>
        <v>0</v>
      </c>
      <c r="BZ26" s="3">
        <f>VLOOKUP(BW26,$O$5:$W$26,6,FALSE)</f>
        <v>0</v>
      </c>
      <c r="CB26" s="3">
        <f>VLOOKUP($BW26,General!$AA$5:$AI$26,8,FALSE)</f>
        <v>0</v>
      </c>
      <c r="CC26" s="3">
        <f>VLOOKUP($BW26,General!$AA$5:$AI$26,6,FALSE)</f>
        <v>0</v>
      </c>
      <c r="CE26" s="27" t="str">
        <f>IF(BW26=CE$23,BW$23,BW26)</f>
        <v>Нидерланды</v>
      </c>
      <c r="CF26" s="20" t="str">
        <f>IF(BW26=CF$23,BW$23,BW26)</f>
        <v>Нидерланды</v>
      </c>
      <c r="CG26" s="21">
        <f>VLOOKUP(CF26,General!$AA$5:$AI$26,8,FALSE)</f>
        <v>0</v>
      </c>
      <c r="CH26" s="21">
        <f>VLOOKUP(CF26,General!$AA$5:$AI$26,6,FALSE)</f>
        <v>0</v>
      </c>
      <c r="CI26" s="29" t="str">
        <f>IF(CF26=CI$18,CF$18,CF26)</f>
        <v>Нидерланды</v>
      </c>
      <c r="CJ26" s="27" t="str">
        <f>IF(BW26=CJ$23,BW$23,BW26)</f>
        <v>Нидерланды</v>
      </c>
      <c r="CK26" s="27" t="str">
        <f>IF(BW26=CK$24,BW$24,BW26)</f>
        <v>Нидерланды</v>
      </c>
      <c r="CL26" s="27" t="str">
        <f>BW26</f>
        <v>Нидерланды</v>
      </c>
      <c r="CM26" s="27" t="str">
        <f>CS26</f>
        <v>Нидерланды</v>
      </c>
      <c r="CN26" s="27" t="str">
        <f>CS26</f>
        <v>Нидерланды</v>
      </c>
      <c r="CP26" s="32" t="str">
        <f>HLOOKUP("YES",CE$22:CN$26,5,FALSE)</f>
        <v>Нидерланды</v>
      </c>
      <c r="CS26" s="3" t="str">
        <f t="shared" si="3"/>
        <v>Нидерланды</v>
      </c>
      <c r="CT26" s="3">
        <f>VLOOKUP($CS26,General!$AA$5:$AI$26,9,FALSE)</f>
        <v>0</v>
      </c>
      <c r="CU26" s="3">
        <f>VLOOKUP($CS26,General!$AA$5:$AI$26,8,FALSE)</f>
        <v>0</v>
      </c>
      <c r="CV26" s="3">
        <f>VLOOKUP($CS26,General!$AA$5:$AI$26,6,FALSE)</f>
        <v>0</v>
      </c>
      <c r="CX26" s="3" t="str">
        <f>IF(BW26=CX$23,BW$17,BW26)</f>
        <v>Нидерланды</v>
      </c>
      <c r="CY26" s="3" t="str">
        <f>IF(CX26=CY$24,CX$24,CX26)</f>
        <v>Нидерланды</v>
      </c>
      <c r="DD26" s="3" t="str">
        <f>IF(OR(AD26=AD27,AD26=AD25),"X","")</f>
        <v>X</v>
      </c>
      <c r="DE26" s="3">
        <f>IF(DD26="x",IF(AD26=AD27,"y",""),"")</f>
      </c>
      <c r="DF26" s="3" t="str">
        <f>IF(DD26="x",AC26,"")</f>
        <v>Нидерланды</v>
      </c>
    </row>
    <row r="27" spans="14:111" ht="11.25">
      <c r="N27" s="8"/>
      <c r="O27" s="8"/>
      <c r="P27" s="9"/>
      <c r="Q27" s="9"/>
      <c r="R27" s="9"/>
      <c r="S27" s="9"/>
      <c r="T27" s="9"/>
      <c r="U27" s="9"/>
      <c r="V27" s="9"/>
      <c r="W27" s="9"/>
      <c r="AD27" s="3" t="s">
        <v>75</v>
      </c>
      <c r="BX27" s="3">
        <f>4-COUNTIF(BX23:BX26,-1)</f>
        <v>4</v>
      </c>
      <c r="DD27" s="3">
        <f>COUNTIF(DD23:DD26,"X")</f>
        <v>4</v>
      </c>
      <c r="DE27" s="3">
        <f>COUNTIF(DE23:DE26,"y")</f>
        <v>3</v>
      </c>
      <c r="DF27" s="3">
        <f>COUNTIF(DD23:DD26,"X")</f>
        <v>4</v>
      </c>
      <c r="DG27" s="3" t="b">
        <f>OR(DD27=2,AND(DD27=4,DE27&lt;3))</f>
        <v>0</v>
      </c>
    </row>
    <row r="28" spans="14:23" ht="11.25">
      <c r="N28" s="8"/>
      <c r="O28" s="8"/>
      <c r="P28" s="9"/>
      <c r="Q28" s="9"/>
      <c r="R28" s="9"/>
      <c r="S28" s="9"/>
      <c r="T28" s="9"/>
      <c r="U28" s="9"/>
      <c r="V28" s="9"/>
      <c r="W28" s="9"/>
    </row>
    <row r="29" spans="14:23" ht="11.25">
      <c r="N29" s="8"/>
      <c r="O29" s="8"/>
      <c r="P29" s="9"/>
      <c r="Q29" s="9"/>
      <c r="R29" s="9"/>
      <c r="S29" s="9"/>
      <c r="T29" s="9"/>
      <c r="U29" s="9"/>
      <c r="V29" s="9"/>
      <c r="W29" s="9"/>
    </row>
    <row r="37" spans="1:6" ht="12" customHeight="1">
      <c r="A37" s="1" t="s">
        <v>20</v>
      </c>
      <c r="B37" s="2">
        <v>0.8645833333333334</v>
      </c>
      <c r="C37" s="1" t="s">
        <v>5</v>
      </c>
      <c r="E37" s="1" t="s">
        <v>53</v>
      </c>
      <c r="F37" s="1" t="s">
        <v>38</v>
      </c>
    </row>
    <row r="38" spans="1:15" ht="12" customHeight="1">
      <c r="A38" s="1" t="s">
        <v>21</v>
      </c>
      <c r="B38" s="2">
        <v>0.8645833333333334</v>
      </c>
      <c r="C38" s="1" t="s">
        <v>8</v>
      </c>
      <c r="E38" s="1" t="s">
        <v>54</v>
      </c>
      <c r="F38" s="1" t="s">
        <v>33</v>
      </c>
      <c r="O38" s="11" t="s">
        <v>83</v>
      </c>
    </row>
    <row r="39" spans="1:15" ht="12" customHeight="1">
      <c r="A39" s="1" t="s">
        <v>22</v>
      </c>
      <c r="B39" s="2">
        <v>0.8645833333333334</v>
      </c>
      <c r="C39" s="1" t="s">
        <v>2</v>
      </c>
      <c r="E39" s="1" t="s">
        <v>55</v>
      </c>
      <c r="F39" s="1" t="s">
        <v>44</v>
      </c>
      <c r="O39" s="11">
        <f>General!DB5</f>
      </c>
    </row>
    <row r="40" spans="1:15" ht="12" customHeight="1">
      <c r="A40" s="1" t="s">
        <v>23</v>
      </c>
      <c r="B40" s="2">
        <v>0.8645833333333334</v>
      </c>
      <c r="C40" s="1" t="s">
        <v>1</v>
      </c>
      <c r="E40" s="1" t="s">
        <v>56</v>
      </c>
      <c r="F40" s="1" t="s">
        <v>41</v>
      </c>
      <c r="O40" s="11">
        <f>General!DB6</f>
      </c>
    </row>
    <row r="41" spans="1:15" ht="12" customHeight="1">
      <c r="A41" s="1" t="s">
        <v>24</v>
      </c>
      <c r="B41" s="2">
        <v>0.8645833333333334</v>
      </c>
      <c r="C41" s="1" t="s">
        <v>8</v>
      </c>
      <c r="E41" s="1" t="s">
        <v>57</v>
      </c>
      <c r="F41" s="1" t="s">
        <v>58</v>
      </c>
      <c r="O41" s="11">
        <f>General!DB7</f>
      </c>
    </row>
    <row r="42" spans="1:15" ht="12" customHeight="1">
      <c r="A42" s="1" t="s">
        <v>25</v>
      </c>
      <c r="B42" s="2">
        <v>0.8645833333333334</v>
      </c>
      <c r="C42" s="1" t="s">
        <v>1</v>
      </c>
      <c r="E42" s="1" t="s">
        <v>59</v>
      </c>
      <c r="F42" s="1" t="s">
        <v>60</v>
      </c>
      <c r="O42" s="11">
        <f>General!DB8</f>
      </c>
    </row>
    <row r="43" spans="1:15" ht="12" customHeight="1">
      <c r="A43" s="1" t="s">
        <v>26</v>
      </c>
      <c r="B43" s="2">
        <v>0.8645833333333334</v>
      </c>
      <c r="C43" s="1" t="s">
        <v>5</v>
      </c>
      <c r="E43" s="1"/>
      <c r="F43" s="1"/>
      <c r="O43" s="15">
        <f>General!DB11</f>
      </c>
    </row>
    <row r="44" ht="11.25">
      <c r="O44" s="15">
        <f>General!DB12</f>
      </c>
    </row>
    <row r="45" ht="11.25">
      <c r="O45" s="15">
        <f>General!DB13</f>
      </c>
    </row>
    <row r="46" ht="11.25">
      <c r="O46" s="15">
        <f>General!DB14</f>
      </c>
    </row>
    <row r="47" ht="11.25">
      <c r="O47" s="11">
        <f>General!DB17</f>
      </c>
    </row>
    <row r="48" ht="11.25">
      <c r="O48" s="11">
        <f>General!DB18</f>
      </c>
    </row>
    <row r="49" ht="11.25">
      <c r="O49" s="11">
        <f>General!DB19</f>
      </c>
    </row>
    <row r="50" ht="11.25">
      <c r="O50" s="11">
        <f>General!DB20</f>
      </c>
    </row>
    <row r="51" ht="11.25">
      <c r="O51" s="15">
        <f>General!DB23</f>
      </c>
    </row>
    <row r="52" ht="11.25">
      <c r="O52" s="15">
        <f>General!DB24</f>
      </c>
    </row>
    <row r="53" ht="11.25">
      <c r="O53" s="15">
        <f>General!DB25</f>
      </c>
    </row>
    <row r="54" ht="11.25">
      <c r="O54" s="15">
        <f>General!DB26</f>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 2004</dc:title>
  <dc:subject>Predictor Excel</dc:subject>
  <dc:creator>AS</dc:creator>
  <cp:keywords/>
  <dc:description>This Excel is works according the chapter 6.16 of  EURO2004 rules document.
If several teams are equal on points on completion of all the matches in their
group,  the  following  criteria  will  be  used  to  determine  the  rankings  in  the
order given:
a)  Number of points obtained in the matches among the teams in question
b)  Goal difference in the matches among the teams in question
c)  Number of goals scored in the matches among the teams in question (if
more than two teams finish equal on points)
d)  Goal difference in all the group matches
e)  Number of goals scored in all the group matches
Points  f, g, h listed behind can't be covered by this excel file.
f)  Coefficient  from  the  qualifying  competitions  for  the  2000/02  World  Cup
and  2002/04  UEFA  European  Football  Championship  (points  obtained
divided by the number of matches played)
g)  Fair play conduct of the teams (final tournament)
h)  Drawing of lots
</dc:description>
  <cp:lastModifiedBy>KARASEVAV</cp:lastModifiedBy>
  <dcterms:created xsi:type="dcterms:W3CDTF">2003-11-10T12:24:13Z</dcterms:created>
  <dcterms:modified xsi:type="dcterms:W3CDTF">2004-06-10T09:43:37Z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
    <vt:lpwstr>alberto.scotta@deltatre.it</vt:lpwstr>
  </property>
  <property fmtid="{D5CDD505-2E9C-101B-9397-08002B2CF9AE}" pid="3" name="_AdHocReviewCycleID">
    <vt:i4>-540277905</vt:i4>
  </property>
  <property fmtid="{D5CDD505-2E9C-101B-9397-08002B2CF9AE}" pid="4" name="_EmailSubject">
    <vt:lpwstr>From Aveks: EURO2004</vt:lpwstr>
  </property>
  <property fmtid="{D5CDD505-2E9C-101B-9397-08002B2CF9AE}" pid="5" name="_AuthorEmailDisplayName">
    <vt:lpwstr>Karasev, Alexander V.</vt:lpwstr>
  </property>
</Properties>
</file>